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c2b7b83cbd786615/เอกสาร/แผนที่ใช้กับโครงการโซล่าเซลล์/"/>
    </mc:Choice>
  </mc:AlternateContent>
  <xr:revisionPtr revIDLastSave="0" documentId="14_{8AD294C0-8EF2-48AF-BAF0-1C2643695086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ภาพรวม" sheetId="12" r:id="rId1"/>
    <sheet name="มทร.เชียงใหม่" sheetId="25" r:id="rId2"/>
    <sheet name="มทร.เชียงราย" sheetId="13" r:id="rId3"/>
    <sheet name="มทร.ดอยสะเก็ด" sheetId="26" r:id="rId4"/>
    <sheet name="มทร.ตาก1" sheetId="27" r:id="rId5"/>
    <sheet name="มทร.ตาก2" sheetId="28" r:id="rId6"/>
    <sheet name="มทร.ตาก3" sheetId="29" r:id="rId7"/>
    <sheet name="มทร.น่าน" sheetId="30" r:id="rId8"/>
    <sheet name="มทร.พิษณุโลก" sheetId="31" r:id="rId9"/>
    <sheet name="มทร.ภาคพายัพ เชียงใหม่" sheetId="32" r:id="rId10"/>
    <sheet name="มทร.ภาคพายัพ เจ็ดยอด" sheetId="33" r:id="rId11"/>
    <sheet name="มทร.ลำปาง" sheetId="3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2" l="1"/>
  <c r="B43" i="12" l="1"/>
  <c r="B14" i="12"/>
  <c r="B4" i="34"/>
  <c r="B32" i="34"/>
  <c r="B29" i="34"/>
  <c r="E28" i="34"/>
  <c r="F28" i="34" s="1"/>
  <c r="G28" i="34" s="1"/>
  <c r="H28" i="34" s="1"/>
  <c r="I28" i="34" s="1"/>
  <c r="J28" i="34" s="1"/>
  <c r="K28" i="34" s="1"/>
  <c r="L28" i="34" s="1"/>
  <c r="M28" i="34" s="1"/>
  <c r="N28" i="34" s="1"/>
  <c r="O28" i="34" s="1"/>
  <c r="P28" i="34" s="1"/>
  <c r="Q28" i="34" s="1"/>
  <c r="R28" i="34" s="1"/>
  <c r="S28" i="34" s="1"/>
  <c r="T28" i="34" s="1"/>
  <c r="U28" i="34" s="1"/>
  <c r="V28" i="34" s="1"/>
  <c r="W27" i="34"/>
  <c r="W26" i="34"/>
  <c r="B26" i="34"/>
  <c r="W25" i="34"/>
  <c r="B24" i="34"/>
  <c r="E30" i="34" s="1"/>
  <c r="F30" i="34" s="1"/>
  <c r="F9" i="34"/>
  <c r="P23" i="34" s="1"/>
  <c r="F7" i="34"/>
  <c r="B4" i="33"/>
  <c r="B32" i="33"/>
  <c r="B29" i="33"/>
  <c r="E28" i="33"/>
  <c r="F28" i="33" s="1"/>
  <c r="G28" i="33" s="1"/>
  <c r="H28" i="33" s="1"/>
  <c r="I28" i="33" s="1"/>
  <c r="J28" i="33" s="1"/>
  <c r="K28" i="33" s="1"/>
  <c r="L28" i="33" s="1"/>
  <c r="M28" i="33" s="1"/>
  <c r="N28" i="33" s="1"/>
  <c r="O28" i="33" s="1"/>
  <c r="P28" i="33" s="1"/>
  <c r="Q28" i="33" s="1"/>
  <c r="R28" i="33" s="1"/>
  <c r="S28" i="33" s="1"/>
  <c r="T28" i="33" s="1"/>
  <c r="U28" i="33" s="1"/>
  <c r="V28" i="33" s="1"/>
  <c r="W27" i="33"/>
  <c r="W26" i="33"/>
  <c r="B26" i="33"/>
  <c r="W25" i="33"/>
  <c r="B24" i="33"/>
  <c r="E30" i="33" s="1"/>
  <c r="F30" i="33" s="1"/>
  <c r="G30" i="33" s="1"/>
  <c r="H30" i="33" s="1"/>
  <c r="I30" i="33" s="1"/>
  <c r="J30" i="33" s="1"/>
  <c r="K30" i="33" s="1"/>
  <c r="L30" i="33" s="1"/>
  <c r="M30" i="33" s="1"/>
  <c r="N30" i="33" s="1"/>
  <c r="O30" i="33" s="1"/>
  <c r="P30" i="33" s="1"/>
  <c r="Q30" i="33" s="1"/>
  <c r="R30" i="33" s="1"/>
  <c r="S30" i="33" s="1"/>
  <c r="T30" i="33" s="1"/>
  <c r="U30" i="33" s="1"/>
  <c r="V30" i="33" s="1"/>
  <c r="F9" i="33"/>
  <c r="F7" i="33"/>
  <c r="B4" i="32"/>
  <c r="B32" i="32"/>
  <c r="B29" i="32"/>
  <c r="E28" i="32"/>
  <c r="F28" i="32" s="1"/>
  <c r="W27" i="32"/>
  <c r="W26" i="32"/>
  <c r="B26" i="32"/>
  <c r="W25" i="32"/>
  <c r="B24" i="32"/>
  <c r="W24" i="32" s="1"/>
  <c r="F9" i="32"/>
  <c r="F7" i="32"/>
  <c r="B4" i="31"/>
  <c r="B32" i="31"/>
  <c r="B29" i="31"/>
  <c r="E28" i="31"/>
  <c r="F28" i="31" s="1"/>
  <c r="G28" i="31" s="1"/>
  <c r="H28" i="31" s="1"/>
  <c r="I28" i="31" s="1"/>
  <c r="J28" i="31" s="1"/>
  <c r="K28" i="31" s="1"/>
  <c r="L28" i="31" s="1"/>
  <c r="M28" i="31" s="1"/>
  <c r="N28" i="31" s="1"/>
  <c r="O28" i="31" s="1"/>
  <c r="P28" i="31" s="1"/>
  <c r="Q28" i="31" s="1"/>
  <c r="R28" i="31" s="1"/>
  <c r="S28" i="31" s="1"/>
  <c r="T28" i="31" s="1"/>
  <c r="U28" i="31" s="1"/>
  <c r="V28" i="31" s="1"/>
  <c r="W27" i="31"/>
  <c r="W26" i="31"/>
  <c r="B26" i="31"/>
  <c r="W25" i="31"/>
  <c r="B24" i="31"/>
  <c r="E30" i="31" s="1"/>
  <c r="F9" i="31"/>
  <c r="F7" i="31"/>
  <c r="Q23" i="31" s="1"/>
  <c r="R23" i="31"/>
  <c r="B4" i="30"/>
  <c r="R23" i="30" s="1"/>
  <c r="B32" i="30"/>
  <c r="B29" i="30"/>
  <c r="E28" i="30"/>
  <c r="W27" i="30"/>
  <c r="W26" i="30"/>
  <c r="B26" i="30"/>
  <c r="W25" i="30"/>
  <c r="B24" i="30"/>
  <c r="W24" i="30" s="1"/>
  <c r="F9" i="30"/>
  <c r="F7" i="30"/>
  <c r="B4" i="29"/>
  <c r="B32" i="29"/>
  <c r="B29" i="29"/>
  <c r="E28" i="29"/>
  <c r="W27" i="29"/>
  <c r="W26" i="29"/>
  <c r="B26" i="29"/>
  <c r="W25" i="29"/>
  <c r="B24" i="29"/>
  <c r="E30" i="29" s="1"/>
  <c r="F9" i="29"/>
  <c r="F7" i="29"/>
  <c r="B4" i="28"/>
  <c r="B32" i="28"/>
  <c r="B29" i="28"/>
  <c r="E28" i="28"/>
  <c r="F28" i="28" s="1"/>
  <c r="G28" i="28" s="1"/>
  <c r="H28" i="28" s="1"/>
  <c r="I28" i="28" s="1"/>
  <c r="J28" i="28" s="1"/>
  <c r="K28" i="28" s="1"/>
  <c r="L28" i="28" s="1"/>
  <c r="M28" i="28" s="1"/>
  <c r="N28" i="28" s="1"/>
  <c r="O28" i="28" s="1"/>
  <c r="P28" i="28" s="1"/>
  <c r="Q28" i="28" s="1"/>
  <c r="R28" i="28" s="1"/>
  <c r="S28" i="28" s="1"/>
  <c r="T28" i="28" s="1"/>
  <c r="U28" i="28" s="1"/>
  <c r="V28" i="28" s="1"/>
  <c r="W27" i="28"/>
  <c r="W26" i="28"/>
  <c r="B26" i="28"/>
  <c r="W25" i="28"/>
  <c r="B24" i="28"/>
  <c r="W24" i="28" s="1"/>
  <c r="F9" i="28"/>
  <c r="F7" i="28"/>
  <c r="Q23" i="28" s="1"/>
  <c r="B4" i="27"/>
  <c r="S23" i="27" s="1"/>
  <c r="B32" i="27"/>
  <c r="B29" i="27"/>
  <c r="E28" i="27"/>
  <c r="F28" i="27" s="1"/>
  <c r="G28" i="27" s="1"/>
  <c r="H28" i="27" s="1"/>
  <c r="I28" i="27" s="1"/>
  <c r="J28" i="27" s="1"/>
  <c r="K28" i="27" s="1"/>
  <c r="L28" i="27" s="1"/>
  <c r="M28" i="27" s="1"/>
  <c r="N28" i="27" s="1"/>
  <c r="O28" i="27" s="1"/>
  <c r="P28" i="27" s="1"/>
  <c r="Q28" i="27" s="1"/>
  <c r="R28" i="27" s="1"/>
  <c r="S28" i="27" s="1"/>
  <c r="T28" i="27" s="1"/>
  <c r="U28" i="27" s="1"/>
  <c r="V28" i="27" s="1"/>
  <c r="W27" i="27"/>
  <c r="W26" i="27"/>
  <c r="B26" i="27"/>
  <c r="W25" i="27"/>
  <c r="B24" i="27"/>
  <c r="E30" i="27" s="1"/>
  <c r="F9" i="27"/>
  <c r="F7" i="27"/>
  <c r="B4" i="26"/>
  <c r="B32" i="26"/>
  <c r="B29" i="26"/>
  <c r="E28" i="26"/>
  <c r="W27" i="26"/>
  <c r="W26" i="26"/>
  <c r="B26" i="26"/>
  <c r="W25" i="26"/>
  <c r="B24" i="26"/>
  <c r="E30" i="26" s="1"/>
  <c r="F9" i="26"/>
  <c r="F7" i="26"/>
  <c r="R23" i="26" s="1"/>
  <c r="O23" i="33" l="1"/>
  <c r="R23" i="27"/>
  <c r="C23" i="27"/>
  <c r="W24" i="29"/>
  <c r="W24" i="26"/>
  <c r="W24" i="34"/>
  <c r="P23" i="33"/>
  <c r="S23" i="33"/>
  <c r="G23" i="33"/>
  <c r="Q23" i="32"/>
  <c r="O23" i="31"/>
  <c r="C23" i="30"/>
  <c r="K23" i="30"/>
  <c r="C23" i="29"/>
  <c r="P23" i="28"/>
  <c r="O23" i="28"/>
  <c r="F23" i="28"/>
  <c r="F29" i="28" s="1"/>
  <c r="V23" i="28"/>
  <c r="C23" i="26"/>
  <c r="K23" i="26"/>
  <c r="S23" i="26"/>
  <c r="I23" i="26"/>
  <c r="O23" i="34"/>
  <c r="I23" i="34"/>
  <c r="P29" i="34"/>
  <c r="P31" i="34" s="1"/>
  <c r="W28" i="34"/>
  <c r="G30" i="34"/>
  <c r="H30" i="34" s="1"/>
  <c r="I30" i="34" s="1"/>
  <c r="J30" i="34" s="1"/>
  <c r="K30" i="34" s="1"/>
  <c r="L30" i="34" s="1"/>
  <c r="M30" i="34" s="1"/>
  <c r="N30" i="34" s="1"/>
  <c r="O30" i="34" s="1"/>
  <c r="P30" i="34" s="1"/>
  <c r="Q30" i="34" s="1"/>
  <c r="R30" i="34" s="1"/>
  <c r="S30" i="34" s="1"/>
  <c r="T30" i="34" s="1"/>
  <c r="U30" i="34" s="1"/>
  <c r="V30" i="34" s="1"/>
  <c r="J23" i="34"/>
  <c r="R23" i="34"/>
  <c r="Q23" i="34"/>
  <c r="C23" i="34"/>
  <c r="K23" i="34"/>
  <c r="S23" i="34"/>
  <c r="D23" i="34"/>
  <c r="L23" i="34"/>
  <c r="T23" i="34"/>
  <c r="E23" i="34"/>
  <c r="M23" i="34"/>
  <c r="U23" i="34"/>
  <c r="F23" i="34"/>
  <c r="N23" i="34"/>
  <c r="V23" i="34"/>
  <c r="G23" i="34"/>
  <c r="H23" i="34"/>
  <c r="W24" i="33"/>
  <c r="W28" i="33"/>
  <c r="Q23" i="33"/>
  <c r="W30" i="33"/>
  <c r="J23" i="33"/>
  <c r="R23" i="33"/>
  <c r="I23" i="33"/>
  <c r="K23" i="33"/>
  <c r="D23" i="33"/>
  <c r="L23" i="33"/>
  <c r="T23" i="33"/>
  <c r="C23" i="33"/>
  <c r="E23" i="33"/>
  <c r="M23" i="33"/>
  <c r="U23" i="33"/>
  <c r="F23" i="33"/>
  <c r="N23" i="33"/>
  <c r="V23" i="33"/>
  <c r="O29" i="33"/>
  <c r="H23" i="33"/>
  <c r="G28" i="32"/>
  <c r="H28" i="32" s="1"/>
  <c r="I28" i="32" s="1"/>
  <c r="J28" i="32" s="1"/>
  <c r="K28" i="32" s="1"/>
  <c r="L28" i="32" s="1"/>
  <c r="M28" i="32" s="1"/>
  <c r="N28" i="32" s="1"/>
  <c r="O28" i="32" s="1"/>
  <c r="P28" i="32" s="1"/>
  <c r="Q28" i="32" s="1"/>
  <c r="R28" i="32" s="1"/>
  <c r="S28" i="32" s="1"/>
  <c r="T28" i="32" s="1"/>
  <c r="U28" i="32" s="1"/>
  <c r="V28" i="32" s="1"/>
  <c r="Q29" i="32"/>
  <c r="K23" i="32"/>
  <c r="D23" i="32"/>
  <c r="L23" i="32"/>
  <c r="T23" i="32"/>
  <c r="J23" i="32"/>
  <c r="R23" i="32"/>
  <c r="E23" i="32"/>
  <c r="M23" i="32"/>
  <c r="U23" i="32"/>
  <c r="F23" i="32"/>
  <c r="N23" i="32"/>
  <c r="V23" i="32"/>
  <c r="C23" i="32"/>
  <c r="S23" i="32"/>
  <c r="G23" i="32"/>
  <c r="O23" i="32"/>
  <c r="E30" i="32"/>
  <c r="H23" i="32"/>
  <c r="P23" i="32"/>
  <c r="I23" i="32"/>
  <c r="W24" i="31"/>
  <c r="S23" i="31"/>
  <c r="I23" i="31"/>
  <c r="G23" i="31"/>
  <c r="W28" i="31"/>
  <c r="R29" i="31"/>
  <c r="R31" i="31" s="1"/>
  <c r="D23" i="31"/>
  <c r="L23" i="31"/>
  <c r="T23" i="31"/>
  <c r="K23" i="31"/>
  <c r="E23" i="31"/>
  <c r="M23" i="31"/>
  <c r="U23" i="31"/>
  <c r="C23" i="31"/>
  <c r="F23" i="31"/>
  <c r="N23" i="31"/>
  <c r="V23" i="31"/>
  <c r="O29" i="31"/>
  <c r="H23" i="31"/>
  <c r="P23" i="31"/>
  <c r="I29" i="31"/>
  <c r="Q29" i="31"/>
  <c r="F30" i="31"/>
  <c r="G30" i="31" s="1"/>
  <c r="H30" i="31" s="1"/>
  <c r="I30" i="31" s="1"/>
  <c r="J30" i="31" s="1"/>
  <c r="K30" i="31" s="1"/>
  <c r="L30" i="31" s="1"/>
  <c r="M30" i="31" s="1"/>
  <c r="N30" i="31" s="1"/>
  <c r="O30" i="31" s="1"/>
  <c r="P30" i="31" s="1"/>
  <c r="Q30" i="31" s="1"/>
  <c r="R30" i="31" s="1"/>
  <c r="S30" i="31" s="1"/>
  <c r="T30" i="31" s="1"/>
  <c r="U30" i="31" s="1"/>
  <c r="V30" i="31" s="1"/>
  <c r="J23" i="31"/>
  <c r="S23" i="30"/>
  <c r="R29" i="30"/>
  <c r="D23" i="30"/>
  <c r="L23" i="30"/>
  <c r="T23" i="30"/>
  <c r="E23" i="30"/>
  <c r="M23" i="30"/>
  <c r="U23" i="30"/>
  <c r="F23" i="30"/>
  <c r="N23" i="30"/>
  <c r="V23" i="30"/>
  <c r="G23" i="30"/>
  <c r="O23" i="30"/>
  <c r="F28" i="30"/>
  <c r="G28" i="30" s="1"/>
  <c r="H28" i="30" s="1"/>
  <c r="I28" i="30" s="1"/>
  <c r="J28" i="30" s="1"/>
  <c r="K28" i="30" s="1"/>
  <c r="L28" i="30" s="1"/>
  <c r="M28" i="30" s="1"/>
  <c r="N28" i="30" s="1"/>
  <c r="O28" i="30" s="1"/>
  <c r="P28" i="30" s="1"/>
  <c r="Q28" i="30" s="1"/>
  <c r="R28" i="30" s="1"/>
  <c r="S28" i="30" s="1"/>
  <c r="T28" i="30" s="1"/>
  <c r="U28" i="30" s="1"/>
  <c r="V28" i="30" s="1"/>
  <c r="E30" i="30"/>
  <c r="H23" i="30"/>
  <c r="P23" i="30"/>
  <c r="I23" i="30"/>
  <c r="Q23" i="30"/>
  <c r="J23" i="30"/>
  <c r="C29" i="30"/>
  <c r="K29" i="30"/>
  <c r="M23" i="29"/>
  <c r="D23" i="29"/>
  <c r="E23" i="29"/>
  <c r="E29" i="29" s="1"/>
  <c r="K23" i="29"/>
  <c r="R23" i="29"/>
  <c r="S23" i="29"/>
  <c r="U23" i="29"/>
  <c r="U29" i="29" s="1"/>
  <c r="Q23" i="29"/>
  <c r="F30" i="29"/>
  <c r="G30" i="29" s="1"/>
  <c r="H30" i="29" s="1"/>
  <c r="I30" i="29" s="1"/>
  <c r="J30" i="29" s="1"/>
  <c r="K30" i="29" s="1"/>
  <c r="L30" i="29" s="1"/>
  <c r="M30" i="29" s="1"/>
  <c r="N30" i="29" s="1"/>
  <c r="O30" i="29" s="1"/>
  <c r="P30" i="29" s="1"/>
  <c r="Q30" i="29" s="1"/>
  <c r="R30" i="29" s="1"/>
  <c r="S30" i="29" s="1"/>
  <c r="T30" i="29" s="1"/>
  <c r="U30" i="29" s="1"/>
  <c r="V30" i="29" s="1"/>
  <c r="L23" i="29"/>
  <c r="T23" i="29"/>
  <c r="M29" i="29"/>
  <c r="F23" i="29"/>
  <c r="N23" i="29"/>
  <c r="V23" i="29"/>
  <c r="G23" i="29"/>
  <c r="O23" i="29"/>
  <c r="F28" i="29"/>
  <c r="G28" i="29" s="1"/>
  <c r="H28" i="29" s="1"/>
  <c r="I28" i="29" s="1"/>
  <c r="J28" i="29" s="1"/>
  <c r="K28" i="29" s="1"/>
  <c r="L28" i="29" s="1"/>
  <c r="M28" i="29" s="1"/>
  <c r="N28" i="29" s="1"/>
  <c r="O28" i="29" s="1"/>
  <c r="P28" i="29" s="1"/>
  <c r="Q28" i="29" s="1"/>
  <c r="R28" i="29" s="1"/>
  <c r="S28" i="29" s="1"/>
  <c r="T28" i="29" s="1"/>
  <c r="U28" i="29" s="1"/>
  <c r="V28" i="29" s="1"/>
  <c r="H23" i="29"/>
  <c r="P23" i="29"/>
  <c r="I23" i="29"/>
  <c r="J23" i="29"/>
  <c r="C29" i="29"/>
  <c r="N23" i="28"/>
  <c r="E30" i="28"/>
  <c r="F30" i="28" s="1"/>
  <c r="G30" i="28" s="1"/>
  <c r="H30" i="28" s="1"/>
  <c r="I30" i="28" s="1"/>
  <c r="J30" i="28" s="1"/>
  <c r="K30" i="28" s="1"/>
  <c r="L30" i="28" s="1"/>
  <c r="M30" i="28" s="1"/>
  <c r="N30" i="28" s="1"/>
  <c r="O30" i="28" s="1"/>
  <c r="P30" i="28" s="1"/>
  <c r="Q30" i="28" s="1"/>
  <c r="R30" i="28" s="1"/>
  <c r="S30" i="28" s="1"/>
  <c r="T30" i="28" s="1"/>
  <c r="U30" i="28" s="1"/>
  <c r="V30" i="28" s="1"/>
  <c r="O29" i="28"/>
  <c r="P29" i="28"/>
  <c r="Q29" i="28"/>
  <c r="Q31" i="28" s="1"/>
  <c r="R23" i="28"/>
  <c r="K23" i="28"/>
  <c r="D23" i="28"/>
  <c r="L23" i="28"/>
  <c r="T23" i="28"/>
  <c r="J23" i="28"/>
  <c r="C23" i="28"/>
  <c r="S23" i="28"/>
  <c r="E23" i="28"/>
  <c r="M23" i="28"/>
  <c r="U23" i="28"/>
  <c r="N29" i="28"/>
  <c r="V29" i="28"/>
  <c r="G23" i="28"/>
  <c r="H23" i="28"/>
  <c r="W28" i="28"/>
  <c r="I23" i="28"/>
  <c r="I23" i="27"/>
  <c r="K23" i="27"/>
  <c r="W24" i="27"/>
  <c r="F30" i="27"/>
  <c r="G30" i="27" s="1"/>
  <c r="H30" i="27" s="1"/>
  <c r="I30" i="27" s="1"/>
  <c r="J30" i="27" s="1"/>
  <c r="K30" i="27" s="1"/>
  <c r="L30" i="27" s="1"/>
  <c r="M30" i="27" s="1"/>
  <c r="N30" i="27" s="1"/>
  <c r="O30" i="27" s="1"/>
  <c r="P30" i="27" s="1"/>
  <c r="Q30" i="27" s="1"/>
  <c r="R30" i="27" s="1"/>
  <c r="S30" i="27" s="1"/>
  <c r="T30" i="27" s="1"/>
  <c r="U30" i="27" s="1"/>
  <c r="V30" i="27" s="1"/>
  <c r="R29" i="27"/>
  <c r="W28" i="27"/>
  <c r="D23" i="27"/>
  <c r="L23" i="27"/>
  <c r="T23" i="27"/>
  <c r="E23" i="27"/>
  <c r="M23" i="27"/>
  <c r="U23" i="27"/>
  <c r="F23" i="27"/>
  <c r="N23" i="27"/>
  <c r="V23" i="27"/>
  <c r="G23" i="27"/>
  <c r="O23" i="27"/>
  <c r="H23" i="27"/>
  <c r="P23" i="27"/>
  <c r="Q23" i="27"/>
  <c r="J23" i="27"/>
  <c r="C29" i="27"/>
  <c r="K29" i="27"/>
  <c r="S29" i="27"/>
  <c r="S31" i="27" s="1"/>
  <c r="R29" i="26"/>
  <c r="I29" i="26"/>
  <c r="F30" i="26"/>
  <c r="G30" i="26" s="1"/>
  <c r="H30" i="26" s="1"/>
  <c r="I30" i="26" s="1"/>
  <c r="J30" i="26" s="1"/>
  <c r="K30" i="26" s="1"/>
  <c r="L30" i="26" s="1"/>
  <c r="M30" i="26" s="1"/>
  <c r="N30" i="26" s="1"/>
  <c r="O30" i="26" s="1"/>
  <c r="P30" i="26" s="1"/>
  <c r="Q30" i="26" s="1"/>
  <c r="R30" i="26" s="1"/>
  <c r="S30" i="26" s="1"/>
  <c r="T30" i="26" s="1"/>
  <c r="U30" i="26" s="1"/>
  <c r="V30" i="26" s="1"/>
  <c r="D23" i="26"/>
  <c r="L23" i="26"/>
  <c r="T23" i="26"/>
  <c r="E23" i="26"/>
  <c r="U23" i="26"/>
  <c r="F23" i="26"/>
  <c r="N23" i="26"/>
  <c r="V23" i="26"/>
  <c r="M23" i="26"/>
  <c r="G23" i="26"/>
  <c r="O23" i="26"/>
  <c r="F28" i="26"/>
  <c r="G28" i="26" s="1"/>
  <c r="H28" i="26" s="1"/>
  <c r="I28" i="26" s="1"/>
  <c r="J28" i="26" s="1"/>
  <c r="K28" i="26" s="1"/>
  <c r="L28" i="26" s="1"/>
  <c r="M28" i="26" s="1"/>
  <c r="N28" i="26" s="1"/>
  <c r="O28" i="26" s="1"/>
  <c r="P28" i="26" s="1"/>
  <c r="Q28" i="26" s="1"/>
  <c r="R28" i="26" s="1"/>
  <c r="S28" i="26" s="1"/>
  <c r="T28" i="26" s="1"/>
  <c r="U28" i="26" s="1"/>
  <c r="V28" i="26" s="1"/>
  <c r="H23" i="26"/>
  <c r="P23" i="26"/>
  <c r="Q23" i="26"/>
  <c r="J23" i="26"/>
  <c r="C29" i="26"/>
  <c r="K29" i="26"/>
  <c r="S29" i="26"/>
  <c r="B4" i="25"/>
  <c r="S23" i="25" s="1"/>
  <c r="B32" i="25"/>
  <c r="B29" i="25"/>
  <c r="E28" i="25"/>
  <c r="F28" i="25" s="1"/>
  <c r="G28" i="25" s="1"/>
  <c r="H28" i="25" s="1"/>
  <c r="I28" i="25" s="1"/>
  <c r="J28" i="25" s="1"/>
  <c r="K28" i="25" s="1"/>
  <c r="L28" i="25" s="1"/>
  <c r="M28" i="25" s="1"/>
  <c r="N28" i="25" s="1"/>
  <c r="O28" i="25" s="1"/>
  <c r="P28" i="25" s="1"/>
  <c r="Q28" i="25" s="1"/>
  <c r="R28" i="25" s="1"/>
  <c r="S28" i="25" s="1"/>
  <c r="T28" i="25" s="1"/>
  <c r="U28" i="25" s="1"/>
  <c r="V28" i="25" s="1"/>
  <c r="W27" i="25"/>
  <c r="W26" i="25"/>
  <c r="B26" i="25"/>
  <c r="W25" i="25"/>
  <c r="B24" i="25"/>
  <c r="E30" i="25" s="1"/>
  <c r="F9" i="25"/>
  <c r="F7" i="25"/>
  <c r="B29" i="13"/>
  <c r="B26" i="13"/>
  <c r="B24" i="13"/>
  <c r="B4" i="13"/>
  <c r="E31" i="30" l="1"/>
  <c r="T31" i="30"/>
  <c r="D31" i="32"/>
  <c r="D31" i="33"/>
  <c r="S31" i="33"/>
  <c r="S32" i="33" s="1"/>
  <c r="G31" i="26"/>
  <c r="Q31" i="30"/>
  <c r="I31" i="30"/>
  <c r="I31" i="26"/>
  <c r="Q31" i="26"/>
  <c r="E31" i="27"/>
  <c r="N31" i="28"/>
  <c r="J31" i="33"/>
  <c r="T31" i="34"/>
  <c r="S31" i="26"/>
  <c r="S29" i="29"/>
  <c r="S31" i="29" s="1"/>
  <c r="S32" i="29" s="1"/>
  <c r="U31" i="28"/>
  <c r="H31" i="30"/>
  <c r="K31" i="26"/>
  <c r="M31" i="27"/>
  <c r="Q29" i="29"/>
  <c r="Q31" i="29"/>
  <c r="Q32" i="29" s="1"/>
  <c r="L31" i="31"/>
  <c r="G29" i="33"/>
  <c r="G31" i="33" s="1"/>
  <c r="G32" i="33" s="1"/>
  <c r="C31" i="26"/>
  <c r="O31" i="34"/>
  <c r="U31" i="29"/>
  <c r="N31" i="32"/>
  <c r="V31" i="33"/>
  <c r="S29" i="33"/>
  <c r="V31" i="28"/>
  <c r="F31" i="28"/>
  <c r="R31" i="30"/>
  <c r="R29" i="29"/>
  <c r="R31" i="29" s="1"/>
  <c r="R32" i="29" s="1"/>
  <c r="G31" i="30"/>
  <c r="P29" i="33"/>
  <c r="P31" i="33" s="1"/>
  <c r="P32" i="33" s="1"/>
  <c r="O31" i="28"/>
  <c r="R31" i="26"/>
  <c r="G31" i="31"/>
  <c r="G32" i="31" s="1"/>
  <c r="P31" i="28"/>
  <c r="C31" i="27"/>
  <c r="C32" i="27" s="1"/>
  <c r="E31" i="29"/>
  <c r="N31" i="30"/>
  <c r="I31" i="31"/>
  <c r="I32" i="31" s="1"/>
  <c r="M31" i="33"/>
  <c r="I29" i="34"/>
  <c r="R31" i="34"/>
  <c r="C31" i="29"/>
  <c r="Q31" i="31"/>
  <c r="Q32" i="31" s="1"/>
  <c r="P31" i="27"/>
  <c r="K31" i="27"/>
  <c r="G31" i="29"/>
  <c r="D31" i="29"/>
  <c r="G29" i="31"/>
  <c r="S29" i="31"/>
  <c r="S31" i="31"/>
  <c r="S32" i="31" s="1"/>
  <c r="E31" i="33"/>
  <c r="H31" i="34"/>
  <c r="J31" i="34"/>
  <c r="K31" i="30"/>
  <c r="R31" i="27"/>
  <c r="M31" i="29"/>
  <c r="M32" i="29" s="1"/>
  <c r="U31" i="30"/>
  <c r="C31" i="30"/>
  <c r="R32" i="31"/>
  <c r="K31" i="34"/>
  <c r="K29" i="29"/>
  <c r="K31" i="29"/>
  <c r="K32" i="29" s="1"/>
  <c r="V31" i="30"/>
  <c r="I29" i="27"/>
  <c r="I31" i="27"/>
  <c r="I32" i="27" s="1"/>
  <c r="J31" i="32"/>
  <c r="N31" i="29"/>
  <c r="S29" i="30"/>
  <c r="S31" i="30" s="1"/>
  <c r="M31" i="30"/>
  <c r="T31" i="33"/>
  <c r="O31" i="31"/>
  <c r="P31" i="29"/>
  <c r="N31" i="33"/>
  <c r="N31" i="34"/>
  <c r="O29" i="34"/>
  <c r="O32" i="34" s="1"/>
  <c r="Q31" i="32"/>
  <c r="O31" i="33"/>
  <c r="W30" i="31"/>
  <c r="K32" i="27"/>
  <c r="C23" i="25"/>
  <c r="R23" i="25"/>
  <c r="I23" i="25"/>
  <c r="I29" i="25" s="1"/>
  <c r="K23" i="25"/>
  <c r="G29" i="34"/>
  <c r="M29" i="34"/>
  <c r="Q29" i="34"/>
  <c r="Q31" i="34" s="1"/>
  <c r="W23" i="34"/>
  <c r="C29" i="34"/>
  <c r="C31" i="34" s="1"/>
  <c r="E29" i="34"/>
  <c r="E31" i="34" s="1"/>
  <c r="R29" i="34"/>
  <c r="T29" i="34"/>
  <c r="J29" i="34"/>
  <c r="V29" i="34"/>
  <c r="V31" i="34" s="1"/>
  <c r="L29" i="34"/>
  <c r="L31" i="34" s="1"/>
  <c r="N29" i="34"/>
  <c r="D29" i="34"/>
  <c r="D31" i="34" s="1"/>
  <c r="P32" i="34"/>
  <c r="F29" i="34"/>
  <c r="F31" i="34" s="1"/>
  <c r="S29" i="34"/>
  <c r="S31" i="34" s="1"/>
  <c r="W30" i="34"/>
  <c r="U29" i="34"/>
  <c r="H29" i="34"/>
  <c r="K29" i="34"/>
  <c r="W23" i="33"/>
  <c r="C29" i="33"/>
  <c r="C31" i="33" s="1"/>
  <c r="R29" i="33"/>
  <c r="R31" i="33" s="1"/>
  <c r="E29" i="33"/>
  <c r="V29" i="33"/>
  <c r="O32" i="33"/>
  <c r="J29" i="33"/>
  <c r="N29" i="33"/>
  <c r="I29" i="33"/>
  <c r="F29" i="33"/>
  <c r="F31" i="33" s="1"/>
  <c r="T29" i="33"/>
  <c r="Q29" i="33"/>
  <c r="Q31" i="33" s="1"/>
  <c r="H29" i="33"/>
  <c r="L29" i="33"/>
  <c r="L31" i="33" s="1"/>
  <c r="U29" i="33"/>
  <c r="D29" i="33"/>
  <c r="M29" i="33"/>
  <c r="K29" i="33"/>
  <c r="K31" i="33" s="1"/>
  <c r="O29" i="32"/>
  <c r="O31" i="32" s="1"/>
  <c r="D29" i="32"/>
  <c r="G29" i="32"/>
  <c r="G31" i="32" s="1"/>
  <c r="U29" i="32"/>
  <c r="U31" i="32" s="1"/>
  <c r="K29" i="32"/>
  <c r="K31" i="32" s="1"/>
  <c r="S29" i="32"/>
  <c r="S31" i="32" s="1"/>
  <c r="M29" i="32"/>
  <c r="M31" i="32" s="1"/>
  <c r="W23" i="32"/>
  <c r="C29" i="32"/>
  <c r="C31" i="32" s="1"/>
  <c r="E29" i="32"/>
  <c r="E31" i="32" s="1"/>
  <c r="I29" i="32"/>
  <c r="I31" i="32" s="1"/>
  <c r="R29" i="32"/>
  <c r="R31" i="32" s="1"/>
  <c r="P29" i="32"/>
  <c r="P31" i="32" s="1"/>
  <c r="V29" i="32"/>
  <c r="V31" i="32" s="1"/>
  <c r="J29" i="32"/>
  <c r="H29" i="32"/>
  <c r="H31" i="32" s="1"/>
  <c r="N29" i="32"/>
  <c r="T29" i="32"/>
  <c r="T31" i="32" s="1"/>
  <c r="F30" i="32"/>
  <c r="G30" i="32" s="1"/>
  <c r="H30" i="32" s="1"/>
  <c r="I30" i="32" s="1"/>
  <c r="J30" i="32" s="1"/>
  <c r="K30" i="32" s="1"/>
  <c r="L30" i="32" s="1"/>
  <c r="M30" i="32" s="1"/>
  <c r="N30" i="32" s="1"/>
  <c r="O30" i="32" s="1"/>
  <c r="P30" i="32" s="1"/>
  <c r="Q30" i="32" s="1"/>
  <c r="R30" i="32" s="1"/>
  <c r="S30" i="32" s="1"/>
  <c r="T30" i="32" s="1"/>
  <c r="U30" i="32" s="1"/>
  <c r="V30" i="32" s="1"/>
  <c r="F29" i="32"/>
  <c r="F31" i="32" s="1"/>
  <c r="L29" i="32"/>
  <c r="L31" i="32" s="1"/>
  <c r="W28" i="32"/>
  <c r="T29" i="31"/>
  <c r="J29" i="31"/>
  <c r="L29" i="31"/>
  <c r="U29" i="31"/>
  <c r="U31" i="31" s="1"/>
  <c r="D29" i="31"/>
  <c r="D31" i="31" s="1"/>
  <c r="F29" i="31"/>
  <c r="F31" i="31" s="1"/>
  <c r="C29" i="31"/>
  <c r="C31" i="31" s="1"/>
  <c r="W23" i="31"/>
  <c r="E29" i="31"/>
  <c r="E31" i="31" s="1"/>
  <c r="H29" i="31"/>
  <c r="H31" i="31" s="1"/>
  <c r="V29" i="31"/>
  <c r="K29" i="31"/>
  <c r="M29" i="31"/>
  <c r="M31" i="31" s="1"/>
  <c r="P29" i="31"/>
  <c r="P31" i="31" s="1"/>
  <c r="N29" i="31"/>
  <c r="O32" i="31"/>
  <c r="W23" i="30"/>
  <c r="C32" i="30"/>
  <c r="I29" i="30"/>
  <c r="U29" i="30"/>
  <c r="M29" i="30"/>
  <c r="W28" i="30"/>
  <c r="O29" i="30"/>
  <c r="O31" i="30" s="1"/>
  <c r="E29" i="30"/>
  <c r="Q29" i="30"/>
  <c r="G29" i="30"/>
  <c r="T29" i="30"/>
  <c r="V29" i="30"/>
  <c r="L29" i="30"/>
  <c r="L31" i="30" s="1"/>
  <c r="F30" i="30"/>
  <c r="G30" i="30" s="1"/>
  <c r="H30" i="30" s="1"/>
  <c r="I30" i="30" s="1"/>
  <c r="J30" i="30" s="1"/>
  <c r="K30" i="30" s="1"/>
  <c r="L30" i="30" s="1"/>
  <c r="M30" i="30" s="1"/>
  <c r="N30" i="30" s="1"/>
  <c r="O30" i="30" s="1"/>
  <c r="P30" i="30" s="1"/>
  <c r="Q30" i="30" s="1"/>
  <c r="R30" i="30" s="1"/>
  <c r="S30" i="30" s="1"/>
  <c r="P29" i="30"/>
  <c r="P31" i="30" s="1"/>
  <c r="N29" i="30"/>
  <c r="D29" i="30"/>
  <c r="D31" i="30" s="1"/>
  <c r="J29" i="30"/>
  <c r="J31" i="30" s="1"/>
  <c r="H29" i="30"/>
  <c r="F29" i="30"/>
  <c r="F31" i="30" s="1"/>
  <c r="D29" i="29"/>
  <c r="W23" i="29"/>
  <c r="C32" i="29"/>
  <c r="I29" i="29"/>
  <c r="I31" i="29" s="1"/>
  <c r="G29" i="29"/>
  <c r="O29" i="29"/>
  <c r="O31" i="29" s="1"/>
  <c r="V29" i="29"/>
  <c r="P29" i="29"/>
  <c r="N29" i="29"/>
  <c r="T29" i="29"/>
  <c r="T31" i="29" s="1"/>
  <c r="W30" i="29"/>
  <c r="H29" i="29"/>
  <c r="H31" i="29" s="1"/>
  <c r="F29" i="29"/>
  <c r="F31" i="29" s="1"/>
  <c r="L29" i="29"/>
  <c r="L31" i="29" s="1"/>
  <c r="W28" i="29"/>
  <c r="J29" i="29"/>
  <c r="J31" i="29" s="1"/>
  <c r="U32" i="29"/>
  <c r="W23" i="28"/>
  <c r="C29" i="28"/>
  <c r="C31" i="28" s="1"/>
  <c r="J29" i="28"/>
  <c r="J31" i="28" s="1"/>
  <c r="W30" i="28"/>
  <c r="R29" i="28"/>
  <c r="R31" i="28" s="1"/>
  <c r="T29" i="28"/>
  <c r="T31" i="28" s="1"/>
  <c r="V32" i="28"/>
  <c r="P32" i="28"/>
  <c r="L29" i="28"/>
  <c r="L31" i="28" s="1"/>
  <c r="N32" i="28"/>
  <c r="M29" i="28"/>
  <c r="M31" i="28" s="1"/>
  <c r="D29" i="28"/>
  <c r="D31" i="28" s="1"/>
  <c r="F32" i="28"/>
  <c r="U29" i="28"/>
  <c r="E29" i="28"/>
  <c r="E31" i="28" s="1"/>
  <c r="Q32" i="28"/>
  <c r="O32" i="28"/>
  <c r="I29" i="28"/>
  <c r="I31" i="28" s="1"/>
  <c r="H29" i="28"/>
  <c r="H31" i="28" s="1"/>
  <c r="G29" i="28"/>
  <c r="G31" i="28" s="1"/>
  <c r="S29" i="28"/>
  <c r="K29" i="28"/>
  <c r="K31" i="28" s="1"/>
  <c r="N29" i="27"/>
  <c r="D29" i="27"/>
  <c r="D31" i="27" s="1"/>
  <c r="R32" i="27"/>
  <c r="L29" i="27"/>
  <c r="L31" i="27" s="1"/>
  <c r="V29" i="27"/>
  <c r="V31" i="27" s="1"/>
  <c r="H29" i="27"/>
  <c r="H31" i="27" s="1"/>
  <c r="J29" i="27"/>
  <c r="J31" i="27" s="1"/>
  <c r="W23" i="27"/>
  <c r="U29" i="27"/>
  <c r="U31" i="27" s="1"/>
  <c r="S32" i="27"/>
  <c r="W30" i="27"/>
  <c r="Q29" i="27"/>
  <c r="Q31" i="27" s="1"/>
  <c r="O29" i="27"/>
  <c r="O31" i="27" s="1"/>
  <c r="M29" i="27"/>
  <c r="F29" i="27"/>
  <c r="G29" i="27"/>
  <c r="G31" i="27" s="1"/>
  <c r="E29" i="27"/>
  <c r="P29" i="27"/>
  <c r="T29" i="27"/>
  <c r="T31" i="27" s="1"/>
  <c r="C32" i="26"/>
  <c r="L29" i="26"/>
  <c r="L31" i="26" s="1"/>
  <c r="P29" i="26"/>
  <c r="P31" i="26" s="1"/>
  <c r="V29" i="26"/>
  <c r="V31" i="26" s="1"/>
  <c r="D29" i="26"/>
  <c r="D31" i="26" s="1"/>
  <c r="I32" i="26"/>
  <c r="H29" i="26"/>
  <c r="H31" i="26" s="1"/>
  <c r="N29" i="26"/>
  <c r="N31" i="26" s="1"/>
  <c r="W28" i="26"/>
  <c r="J29" i="26"/>
  <c r="J31" i="26" s="1"/>
  <c r="K32" i="26"/>
  <c r="Q29" i="26"/>
  <c r="W23" i="26"/>
  <c r="W30" i="26"/>
  <c r="F29" i="26"/>
  <c r="F31" i="26" s="1"/>
  <c r="O29" i="26"/>
  <c r="U29" i="26"/>
  <c r="S32" i="26"/>
  <c r="G29" i="26"/>
  <c r="E29" i="26"/>
  <c r="E31" i="26" s="1"/>
  <c r="R32" i="26"/>
  <c r="M29" i="26"/>
  <c r="M31" i="26" s="1"/>
  <c r="T29" i="26"/>
  <c r="T31" i="26" s="1"/>
  <c r="W24" i="25"/>
  <c r="R29" i="25"/>
  <c r="W28" i="25"/>
  <c r="F30" i="25"/>
  <c r="G30" i="25" s="1"/>
  <c r="H30" i="25" s="1"/>
  <c r="I30" i="25" s="1"/>
  <c r="J30" i="25" s="1"/>
  <c r="K30" i="25" s="1"/>
  <c r="L30" i="25" s="1"/>
  <c r="M30" i="25" s="1"/>
  <c r="N30" i="25" s="1"/>
  <c r="O30" i="25" s="1"/>
  <c r="P30" i="25" s="1"/>
  <c r="Q30" i="25" s="1"/>
  <c r="R30" i="25" s="1"/>
  <c r="S30" i="25" s="1"/>
  <c r="T30" i="25" s="1"/>
  <c r="U30" i="25" s="1"/>
  <c r="V30" i="25" s="1"/>
  <c r="D23" i="25"/>
  <c r="L23" i="25"/>
  <c r="T23" i="25"/>
  <c r="E23" i="25"/>
  <c r="M23" i="25"/>
  <c r="U23" i="25"/>
  <c r="F23" i="25"/>
  <c r="N23" i="25"/>
  <c r="V23" i="25"/>
  <c r="G23" i="25"/>
  <c r="O23" i="25"/>
  <c r="H23" i="25"/>
  <c r="P23" i="25"/>
  <c r="Q23" i="25"/>
  <c r="J23" i="25"/>
  <c r="C29" i="25"/>
  <c r="K29" i="25"/>
  <c r="S29" i="25"/>
  <c r="S31" i="25" s="1"/>
  <c r="P32" i="27" l="1"/>
  <c r="O32" i="26"/>
  <c r="L32" i="31"/>
  <c r="H32" i="34"/>
  <c r="I31" i="34"/>
  <c r="I32" i="34" s="1"/>
  <c r="N32" i="27"/>
  <c r="N32" i="29"/>
  <c r="T32" i="31"/>
  <c r="T32" i="33"/>
  <c r="G32" i="27"/>
  <c r="J31" i="25"/>
  <c r="N32" i="31"/>
  <c r="F32" i="33"/>
  <c r="U31" i="26"/>
  <c r="U32" i="26" s="1"/>
  <c r="S31" i="28"/>
  <c r="S32" i="28" s="1"/>
  <c r="N31" i="27"/>
  <c r="U32" i="34"/>
  <c r="U31" i="34"/>
  <c r="K31" i="25"/>
  <c r="G31" i="34"/>
  <c r="G32" i="34" s="1"/>
  <c r="H32" i="28"/>
  <c r="M31" i="34"/>
  <c r="M32" i="34" s="1"/>
  <c r="H31" i="33"/>
  <c r="H32" i="33" s="1"/>
  <c r="E32" i="34"/>
  <c r="I32" i="28"/>
  <c r="R31" i="25"/>
  <c r="R32" i="25" s="1"/>
  <c r="O31" i="25"/>
  <c r="H32" i="26"/>
  <c r="G32" i="29"/>
  <c r="N32" i="34"/>
  <c r="C31" i="25"/>
  <c r="V31" i="31"/>
  <c r="V32" i="31" s="1"/>
  <c r="F32" i="31"/>
  <c r="I31" i="25"/>
  <c r="H31" i="25"/>
  <c r="V31" i="29"/>
  <c r="V32" i="29" s="1"/>
  <c r="K31" i="31"/>
  <c r="K32" i="31" s="1"/>
  <c r="I31" i="33"/>
  <c r="I32" i="33" s="1"/>
  <c r="F31" i="27"/>
  <c r="F32" i="27" s="1"/>
  <c r="E32" i="31"/>
  <c r="E32" i="33"/>
  <c r="J32" i="34"/>
  <c r="O31" i="26"/>
  <c r="O32" i="27"/>
  <c r="T32" i="34"/>
  <c r="U31" i="33"/>
  <c r="U32" i="33" s="1"/>
  <c r="T31" i="31"/>
  <c r="Q32" i="27"/>
  <c r="O32" i="29"/>
  <c r="U32" i="27"/>
  <c r="E32" i="26"/>
  <c r="J32" i="29"/>
  <c r="E32" i="30"/>
  <c r="G32" i="26"/>
  <c r="L32" i="29"/>
  <c r="D32" i="33"/>
  <c r="N31" i="31"/>
  <c r="J31" i="31"/>
  <c r="J32" i="31" s="1"/>
  <c r="F32" i="26"/>
  <c r="S32" i="34"/>
  <c r="F32" i="34"/>
  <c r="L32" i="34"/>
  <c r="Q32" i="34"/>
  <c r="W29" i="34"/>
  <c r="K32" i="34"/>
  <c r="D32" i="34"/>
  <c r="V32" i="34"/>
  <c r="R32" i="34"/>
  <c r="J32" i="33"/>
  <c r="L32" i="33"/>
  <c r="V32" i="33"/>
  <c r="R32" i="33"/>
  <c r="K32" i="33"/>
  <c r="N32" i="33"/>
  <c r="W29" i="33"/>
  <c r="M32" i="33"/>
  <c r="Q32" i="33"/>
  <c r="N32" i="32"/>
  <c r="T32" i="32"/>
  <c r="D32" i="32"/>
  <c r="F32" i="32"/>
  <c r="K32" i="32"/>
  <c r="C32" i="32"/>
  <c r="I32" i="32"/>
  <c r="S32" i="32"/>
  <c r="H32" i="32"/>
  <c r="V32" i="32"/>
  <c r="G32" i="32"/>
  <c r="W30" i="32"/>
  <c r="P32" i="32"/>
  <c r="Q32" i="32"/>
  <c r="L32" i="32"/>
  <c r="J32" i="32"/>
  <c r="M32" i="32"/>
  <c r="R32" i="32"/>
  <c r="U32" i="32"/>
  <c r="O32" i="32"/>
  <c r="W29" i="32"/>
  <c r="U32" i="31"/>
  <c r="D32" i="31"/>
  <c r="M32" i="31"/>
  <c r="H32" i="31"/>
  <c r="W29" i="31"/>
  <c r="P32" i="31"/>
  <c r="L32" i="30"/>
  <c r="D32" i="30"/>
  <c r="F32" i="30"/>
  <c r="P32" i="30"/>
  <c r="O32" i="30"/>
  <c r="H32" i="30"/>
  <c r="W29" i="30"/>
  <c r="K32" i="30"/>
  <c r="T30" i="30"/>
  <c r="U30" i="30" s="1"/>
  <c r="V30" i="30" s="1"/>
  <c r="V32" i="30" s="1"/>
  <c r="S32" i="30"/>
  <c r="I32" i="30"/>
  <c r="Q32" i="30"/>
  <c r="N32" i="30"/>
  <c r="J32" i="30"/>
  <c r="R32" i="30"/>
  <c r="M32" i="30"/>
  <c r="P32" i="29"/>
  <c r="D32" i="29"/>
  <c r="H32" i="29"/>
  <c r="I32" i="29"/>
  <c r="E32" i="29"/>
  <c r="W29" i="29"/>
  <c r="F32" i="29"/>
  <c r="T32" i="29"/>
  <c r="J32" i="28"/>
  <c r="M32" i="28"/>
  <c r="T32" i="28"/>
  <c r="G32" i="28"/>
  <c r="U32" i="28"/>
  <c r="B38" i="28"/>
  <c r="W29" i="28"/>
  <c r="B37" i="28"/>
  <c r="C37" i="28" s="1"/>
  <c r="L32" i="28"/>
  <c r="R32" i="28"/>
  <c r="K32" i="28"/>
  <c r="D32" i="28"/>
  <c r="E32" i="28"/>
  <c r="V32" i="27"/>
  <c r="M32" i="27"/>
  <c r="H32" i="27"/>
  <c r="L32" i="27"/>
  <c r="T32" i="27"/>
  <c r="J32" i="27"/>
  <c r="D32" i="27"/>
  <c r="W29" i="27"/>
  <c r="N32" i="26"/>
  <c r="P32" i="26"/>
  <c r="B37" i="26"/>
  <c r="C37" i="26" s="1"/>
  <c r="M32" i="26"/>
  <c r="Q32" i="26"/>
  <c r="W29" i="26"/>
  <c r="L32" i="26"/>
  <c r="B38" i="26"/>
  <c r="V32" i="26"/>
  <c r="D32" i="26"/>
  <c r="T32" i="26"/>
  <c r="W23" i="25"/>
  <c r="K32" i="25"/>
  <c r="L29" i="25"/>
  <c r="L31" i="25" s="1"/>
  <c r="N29" i="25"/>
  <c r="N31" i="25" s="1"/>
  <c r="D29" i="25"/>
  <c r="D31" i="25" s="1"/>
  <c r="C32" i="25"/>
  <c r="V29" i="25"/>
  <c r="V31" i="25" s="1"/>
  <c r="P29" i="25"/>
  <c r="P31" i="25" s="1"/>
  <c r="F29" i="25"/>
  <c r="F31" i="25" s="1"/>
  <c r="I32" i="25"/>
  <c r="J29" i="25"/>
  <c r="H29" i="25"/>
  <c r="Q29" i="25"/>
  <c r="Q31" i="25" s="1"/>
  <c r="O29" i="25"/>
  <c r="M29" i="25"/>
  <c r="M31" i="25" s="1"/>
  <c r="W30" i="25"/>
  <c r="U29" i="25"/>
  <c r="U31" i="25" s="1"/>
  <c r="G29" i="25"/>
  <c r="E29" i="25"/>
  <c r="E31" i="25" s="1"/>
  <c r="S32" i="25"/>
  <c r="T29" i="25"/>
  <c r="T31" i="25" s="1"/>
  <c r="G31" i="25" l="1"/>
  <c r="G32" i="25" s="1"/>
  <c r="P32" i="25"/>
  <c r="Q32" i="25"/>
  <c r="J32" i="25"/>
  <c r="W31" i="32"/>
  <c r="W31" i="31"/>
  <c r="W31" i="30"/>
  <c r="W31" i="34"/>
  <c r="C32" i="34"/>
  <c r="W31" i="33"/>
  <c r="C32" i="33"/>
  <c r="E32" i="32"/>
  <c r="W32" i="32" s="1"/>
  <c r="C32" i="31"/>
  <c r="T32" i="30"/>
  <c r="W30" i="30"/>
  <c r="U32" i="30"/>
  <c r="G32" i="30"/>
  <c r="W32" i="29"/>
  <c r="W31" i="29"/>
  <c r="W31" i="28"/>
  <c r="C32" i="28"/>
  <c r="W31" i="27"/>
  <c r="E32" i="27"/>
  <c r="W31" i="26"/>
  <c r="J32" i="26"/>
  <c r="W29" i="25"/>
  <c r="U32" i="25"/>
  <c r="T32" i="25"/>
  <c r="V32" i="25"/>
  <c r="L32" i="25"/>
  <c r="N32" i="25"/>
  <c r="M32" i="25"/>
  <c r="O32" i="25"/>
  <c r="H32" i="25"/>
  <c r="F32" i="25"/>
  <c r="E32" i="25"/>
  <c r="D32" i="25"/>
  <c r="W32" i="34" l="1"/>
  <c r="W32" i="33"/>
  <c r="W32" i="31"/>
  <c r="W32" i="30"/>
  <c r="W32" i="28"/>
  <c r="W32" i="27"/>
  <c r="W32" i="26"/>
  <c r="W31" i="25"/>
  <c r="W32" i="25"/>
  <c r="B32" i="13"/>
  <c r="E30" i="13"/>
  <c r="W27" i="13"/>
  <c r="W26" i="13"/>
  <c r="W25" i="13"/>
  <c r="W24" i="13"/>
  <c r="F9" i="13"/>
  <c r="O23" i="13" s="1"/>
  <c r="F7" i="13"/>
  <c r="F24" i="12"/>
  <c r="F22" i="12"/>
  <c r="B19" i="12"/>
  <c r="E62" i="12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R62" i="12" s="1"/>
  <c r="S62" i="12" s="1"/>
  <c r="T62" i="12" s="1"/>
  <c r="U62" i="12" s="1"/>
  <c r="V62" i="12" s="1"/>
  <c r="C60" i="12"/>
  <c r="D60" i="12" s="1"/>
  <c r="E60" i="12" s="1"/>
  <c r="F60" i="12" s="1"/>
  <c r="G60" i="12" s="1"/>
  <c r="H60" i="12" s="1"/>
  <c r="I60" i="12" s="1"/>
  <c r="J60" i="12" s="1"/>
  <c r="K60" i="12" s="1"/>
  <c r="L60" i="12" s="1"/>
  <c r="M60" i="12" s="1"/>
  <c r="N60" i="12" s="1"/>
  <c r="O60" i="12" s="1"/>
  <c r="P60" i="12" s="1"/>
  <c r="Q60" i="12" s="1"/>
  <c r="R60" i="12" s="1"/>
  <c r="S60" i="12" s="1"/>
  <c r="T60" i="12" s="1"/>
  <c r="U60" i="12" s="1"/>
  <c r="V60" i="12" s="1"/>
  <c r="Q23" i="13" l="1"/>
  <c r="R23" i="13"/>
  <c r="W60" i="12"/>
  <c r="W62" i="12"/>
  <c r="Q29" i="13"/>
  <c r="O29" i="13"/>
  <c r="J23" i="13"/>
  <c r="S23" i="13"/>
  <c r="D23" i="13"/>
  <c r="L23" i="13"/>
  <c r="T23" i="13"/>
  <c r="C23" i="13"/>
  <c r="K23" i="13"/>
  <c r="E23" i="13"/>
  <c r="M23" i="13"/>
  <c r="U23" i="13"/>
  <c r="F23" i="13"/>
  <c r="N23" i="13"/>
  <c r="V23" i="13"/>
  <c r="E28" i="13"/>
  <c r="F28" i="13" s="1"/>
  <c r="G28" i="13" s="1"/>
  <c r="H28" i="13" s="1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T28" i="13" s="1"/>
  <c r="U28" i="13" s="1"/>
  <c r="V28" i="13" s="1"/>
  <c r="G23" i="13"/>
  <c r="H23" i="13"/>
  <c r="P23" i="13"/>
  <c r="F30" i="13"/>
  <c r="G30" i="13" s="1"/>
  <c r="H30" i="13" s="1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T30" i="13" s="1"/>
  <c r="U30" i="13" s="1"/>
  <c r="V30" i="13" s="1"/>
  <c r="I23" i="13"/>
  <c r="R29" i="13"/>
  <c r="W59" i="12"/>
  <c r="B58" i="12"/>
  <c r="B64" i="12" s="1"/>
  <c r="W57" i="12"/>
  <c r="W55" i="12"/>
  <c r="V54" i="12"/>
  <c r="U54" i="12"/>
  <c r="S54" i="12"/>
  <c r="D31" i="13" l="1"/>
  <c r="N31" i="13"/>
  <c r="R31" i="13"/>
  <c r="R32" i="13" s="1"/>
  <c r="L31" i="13"/>
  <c r="H31" i="13"/>
  <c r="S63" i="12"/>
  <c r="F31" i="13"/>
  <c r="Q31" i="13"/>
  <c r="Q32" i="13" s="1"/>
  <c r="O31" i="13"/>
  <c r="O32" i="13" s="1"/>
  <c r="S61" i="12"/>
  <c r="U61" i="12"/>
  <c r="U63" i="12" s="1"/>
  <c r="U64" i="12" s="1"/>
  <c r="V61" i="12"/>
  <c r="W23" i="13"/>
  <c r="C29" i="13"/>
  <c r="C31" i="13" s="1"/>
  <c r="T29" i="13"/>
  <c r="L29" i="13"/>
  <c r="I29" i="13"/>
  <c r="I31" i="13" s="1"/>
  <c r="F29" i="13"/>
  <c r="D29" i="13"/>
  <c r="W30" i="13"/>
  <c r="U29" i="13"/>
  <c r="U31" i="13" s="1"/>
  <c r="S29" i="13"/>
  <c r="W28" i="13"/>
  <c r="N29" i="13"/>
  <c r="H29" i="13"/>
  <c r="J29" i="13"/>
  <c r="J31" i="13" s="1"/>
  <c r="V29" i="13"/>
  <c r="P29" i="13"/>
  <c r="E29" i="13"/>
  <c r="E31" i="13" s="1"/>
  <c r="M29" i="13"/>
  <c r="M31" i="13" s="1"/>
  <c r="G29" i="13"/>
  <c r="G31" i="13" s="1"/>
  <c r="K29" i="13"/>
  <c r="K31" i="13" s="1"/>
  <c r="I54" i="12"/>
  <c r="L54" i="12"/>
  <c r="D54" i="12"/>
  <c r="N54" i="12"/>
  <c r="E54" i="12"/>
  <c r="O54" i="12"/>
  <c r="M54" i="12"/>
  <c r="F54" i="12"/>
  <c r="P54" i="12"/>
  <c r="G54" i="12"/>
  <c r="Q54" i="12"/>
  <c r="H54" i="12"/>
  <c r="T54" i="12"/>
  <c r="J54" i="12"/>
  <c r="R54" i="12"/>
  <c r="C54" i="12"/>
  <c r="K54" i="12"/>
  <c r="G61" i="12" l="1"/>
  <c r="G63" i="12"/>
  <c r="K32" i="13"/>
  <c r="F61" i="12"/>
  <c r="P63" i="12"/>
  <c r="N32" i="13"/>
  <c r="U32" i="13"/>
  <c r="S31" i="13"/>
  <c r="S32" i="13" s="1"/>
  <c r="J63" i="12"/>
  <c r="E61" i="12"/>
  <c r="E63" i="12"/>
  <c r="T31" i="13"/>
  <c r="T32" i="13" s="1"/>
  <c r="M63" i="12"/>
  <c r="V31" i="13"/>
  <c r="V32" i="13" s="1"/>
  <c r="D61" i="12"/>
  <c r="D63" i="12"/>
  <c r="D64" i="12"/>
  <c r="K63" i="12"/>
  <c r="C63" i="12"/>
  <c r="P31" i="13"/>
  <c r="P32" i="13" s="1"/>
  <c r="T63" i="12"/>
  <c r="N63" i="12"/>
  <c r="F32" i="13"/>
  <c r="V63" i="12"/>
  <c r="V64" i="12" s="1"/>
  <c r="N61" i="12"/>
  <c r="L61" i="12"/>
  <c r="H61" i="12"/>
  <c r="K61" i="12"/>
  <c r="P61" i="12"/>
  <c r="I61" i="12"/>
  <c r="C61" i="12"/>
  <c r="Q61" i="12"/>
  <c r="Q63" i="12" s="1"/>
  <c r="R61" i="12"/>
  <c r="R63" i="12" s="1"/>
  <c r="M61" i="12"/>
  <c r="J61" i="12"/>
  <c r="O61" i="12"/>
  <c r="S64" i="12"/>
  <c r="T61" i="12"/>
  <c r="D32" i="13"/>
  <c r="G32" i="13"/>
  <c r="L32" i="13"/>
  <c r="E32" i="13"/>
  <c r="J32" i="13"/>
  <c r="I32" i="13"/>
  <c r="W29" i="13"/>
  <c r="M32" i="13"/>
  <c r="H32" i="13"/>
  <c r="C32" i="13"/>
  <c r="E64" i="12"/>
  <c r="G64" i="12"/>
  <c r="W54" i="12"/>
  <c r="O63" i="12" l="1"/>
  <c r="O64" i="12" s="1"/>
  <c r="F63" i="12"/>
  <c r="F64" i="12" s="1"/>
  <c r="J64" i="12"/>
  <c r="M64" i="12"/>
  <c r="P64" i="12"/>
  <c r="Q64" i="12"/>
  <c r="L63" i="12"/>
  <c r="L64" i="12" s="1"/>
  <c r="N64" i="12"/>
  <c r="T64" i="12"/>
  <c r="I63" i="12"/>
  <c r="I64" i="12" s="1"/>
  <c r="H63" i="12"/>
  <c r="H64" i="12" s="1"/>
  <c r="C64" i="12"/>
  <c r="K64" i="12"/>
  <c r="R64" i="12"/>
  <c r="W61" i="12"/>
  <c r="B69" i="12"/>
  <c r="B70" i="12"/>
  <c r="W31" i="13"/>
  <c r="W32" i="13"/>
  <c r="W58" i="12"/>
  <c r="B78" i="12" l="1"/>
  <c r="B77" i="12"/>
  <c r="W64" i="12"/>
  <c r="W63" i="12"/>
</calcChain>
</file>

<file path=xl/sharedStrings.xml><?xml version="1.0" encoding="utf-8"?>
<sst xmlns="http://schemas.openxmlformats.org/spreadsheetml/2006/main" count="801" uniqueCount="105">
  <si>
    <t xml:space="preserve">วัน </t>
  </si>
  <si>
    <t xml:space="preserve">ค่าไฟฟ้า คิดยูนิตละ </t>
  </si>
  <si>
    <t>ประมาณการ</t>
  </si>
  <si>
    <t>รายการ</t>
  </si>
  <si>
    <t>ปีที่ 0</t>
  </si>
  <si>
    <t>ปีที่ 1</t>
  </si>
  <si>
    <t>ปีที่ 2</t>
  </si>
  <si>
    <t>ปีที่ 3</t>
  </si>
  <si>
    <t>ปีที่ 4</t>
  </si>
  <si>
    <t>ปีที่ 5</t>
  </si>
  <si>
    <t>ปีที่ 6</t>
  </si>
  <si>
    <t>ปีที่ 7</t>
  </si>
  <si>
    <t>ปีที่ 8</t>
  </si>
  <si>
    <t>ปีที่ 9</t>
  </si>
  <si>
    <t>ปีที่ 10</t>
  </si>
  <si>
    <t>ปีที่ 11</t>
  </si>
  <si>
    <t>ปีที่ 12</t>
  </si>
  <si>
    <t>ปีที่ 13</t>
  </si>
  <si>
    <t>ปีที่ 14</t>
  </si>
  <si>
    <t>ปีที่ 15</t>
  </si>
  <si>
    <t>ปีที่ 16</t>
  </si>
  <si>
    <t>ปีที่ 17</t>
  </si>
  <si>
    <t>ปีที่ 18</t>
  </si>
  <si>
    <t>ปีที่ 19</t>
  </si>
  <si>
    <t>ปีที่ 20</t>
  </si>
  <si>
    <t>รายจ่าย</t>
  </si>
  <si>
    <t>รายรับ</t>
  </si>
  <si>
    <t>IRR</t>
  </si>
  <si>
    <t>หมายเหตุ</t>
  </si>
  <si>
    <t>เงินลงทุน (ผู้ลงทุน)</t>
  </si>
  <si>
    <t>เท่า ของเงินลงทุน</t>
  </si>
  <si>
    <t>Break even Point</t>
  </si>
  <si>
    <t xml:space="preserve"> </t>
  </si>
  <si>
    <t>บาท</t>
  </si>
  <si>
    <t>ภาษี</t>
  </si>
  <si>
    <t>NPV (rate 5.0%)</t>
  </si>
  <si>
    <r>
      <t>รายได้บริษัท</t>
    </r>
    <r>
      <rPr>
        <i/>
        <sz val="11"/>
        <color rgb="FFC00000"/>
        <rFont val="Calibri"/>
        <family val="2"/>
        <scheme val="minor"/>
      </rPr>
      <t>ก่อนหักภาษี</t>
    </r>
  </si>
  <si>
    <t>1.ค่าไฟฟ้าจากหน่วยงานที่บริษัทติดตั้ง</t>
  </si>
  <si>
    <t>2.เงินลงทุนจากผู้ร่วมลงทุน</t>
  </si>
  <si>
    <t>ลงทุนค่าห้องปฏิบัติการให้แก่ มทร.</t>
  </si>
  <si>
    <t xml:space="preserve">   ผลิตไฟฟ้าได้วันละ </t>
  </si>
  <si>
    <t xml:space="preserve">   TOU</t>
  </si>
  <si>
    <t xml:space="preserve">         Peak</t>
  </si>
  <si>
    <t xml:space="preserve">        Off Peak</t>
  </si>
  <si>
    <t xml:space="preserve">               จำนวนวันต่อปี</t>
  </si>
  <si>
    <t>บาท/เดือน</t>
  </si>
  <si>
    <t>ค่าบำรุงรักษา</t>
  </si>
  <si>
    <t>(คำนวณจากฐานการลงทุน)</t>
  </si>
  <si>
    <t>ค่าบำรุงรักษา - สำรองค่าบำรุงรักษาตั้งแต่ปีที่ 3 เป็นต้นไป</t>
  </si>
  <si>
    <t>ภาษีธุรกิจ</t>
  </si>
  <si>
    <t>จากกำไรสุทธิ</t>
  </si>
  <si>
    <t>ลงทุนติดตั้งแผงโซล่าร์เซลล์และอุปกรณ์</t>
  </si>
  <si>
    <t>ลงุทนค่าห้องปฏิบัติการ</t>
  </si>
  <si>
    <t>จ่ายคืนผู้ลงทุน ( 130 ล้านบาท)</t>
  </si>
  <si>
    <t>ค่าไฟฟ้าจากหน่วยงาน (ภาพรวม)</t>
  </si>
  <si>
    <t>ค่าใช้จ่ายในการบริหาร (ควบคุมดูแล)</t>
  </si>
  <si>
    <t>ผลตอบแทนให้แก่ IND</t>
  </si>
  <si>
    <t>ค่าใช้จ่ายในการบริหาร  - เดือนละ 300,000 บาท (จำนวน 10 คน)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</si>
  <si>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459.54</t>
    </r>
    <r>
      <rPr>
        <sz val="10"/>
        <rFont val="Tahoma"/>
        <family val="2"/>
      </rPr>
      <t xml:space="preserve"> ยูนิต)</t>
    </r>
  </si>
  <si>
    <t>2.เงินลงทุนจากผู้ร่วมลงทุน (ภาพรวม)</t>
  </si>
  <si>
    <t>ลงทุนค่าห้องปฏิบัติการให้แก่ มทร. (ภาพรวม)</t>
  </si>
  <si>
    <t>ลงทุนติดตั้งแผงโซล่าร์เซลล์ ให้แก่ มทร.เชียงราย</t>
  </si>
  <si>
    <t xml:space="preserve">จ่ายคืนผู้ลงทุน 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</si>
  <si>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604.44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</si>
  <si>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341.55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</si>
  <si>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มทร.เชียงใหม่</t>
  </si>
  <si>
    <t>ลงทุนติดตั้งแผงโซล่าร์เซลล์ ให้แก่ มทร.ตาก (มิเตอร์ 1)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</si>
  <si>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408.48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</si>
  <si>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110.4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</si>
  <si>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ลงทุนติดตั้งแผงโซล่าร์เซลล์และอุปกรณ์ (รายละเอียดตามเอกสารแนบ)</t>
  </si>
  <si>
    <t>ลงทุนติดตั้งแผงโซล่าร์เซลล์ ให้แก่ มทร.ตาก (มิเตอร์ 2)</t>
  </si>
  <si>
    <t>ลงทุนติดตั้งแผงโซล่าร์เซลล์ ให้แก่ มทร.ตาก (มิเตอร์ 3)</t>
  </si>
  <si>
    <t>ลงทุนติดตั้งแผงโซล่าร์เซลล์ ให้แก่ มทร.น่าน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</si>
  <si>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139.38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</si>
  <si>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มทร.พิษณุโลก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</si>
  <si>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350.52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</si>
  <si>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เชียงใหม่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</si>
  <si>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999.8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</si>
  <si>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เจ็ดยอด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</si>
  <si>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149.04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</si>
  <si>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536.06</t>
    </r>
    <r>
      <rPr>
        <sz val="10"/>
        <rFont val="Tahoma"/>
        <family val="2"/>
      </rPr>
      <t xml:space="preserve"> ยูนิต)</t>
    </r>
  </si>
  <si>
    <t xml:space="preserve">   1.1 มทร.เชียงใหม่</t>
  </si>
  <si>
    <t xml:space="preserve">   1.2 มทร.เชียงราย</t>
  </si>
  <si>
    <t xml:space="preserve">   1.3 มทร.ดอยสะเก็ด</t>
  </si>
  <si>
    <t xml:space="preserve">   1.4  มทร.ตาก(มิเตอร์ 1)</t>
  </si>
  <si>
    <t xml:space="preserve">   1.5  มทร.ตาก(มิเตอร์ 2)</t>
  </si>
  <si>
    <t xml:space="preserve">   1.6  มทร.ตาก(มิเตอร์ 3)</t>
  </si>
  <si>
    <t xml:space="preserve">   1.7  มทร.น่าน</t>
  </si>
  <si>
    <t xml:space="preserve">   1.8  มทร.พิษณุโลก</t>
  </si>
  <si>
    <t xml:space="preserve">   1.9  มทร.ภาคพายัพ เชียงใหม่</t>
  </si>
  <si>
    <t xml:space="preserve">   1.10  มทร.ภาคพายัพ เจ็ดยอด</t>
  </si>
  <si>
    <t xml:space="preserve">   1.11  มทร.ลำปาง</t>
  </si>
  <si>
    <t xml:space="preserve">1.ค่าไฟฟ้าจากหน่วยงานที่บริษัทติดตั้ง จำนวน 11 แห่ง     </t>
  </si>
  <si>
    <t>กำลังการผลิด/ชั่วโมง</t>
  </si>
  <si>
    <t>รวม</t>
  </si>
  <si>
    <t xml:space="preserve">คำนวณการใช้ไฟจริง ปี 2566-67 </t>
  </si>
  <si>
    <t>ประมาณการ การใช้ไฟ</t>
  </si>
  <si>
    <t xml:space="preserve">คำนวณค่าอุปกรณ์การติดตั้งแผงโซล่าร์เซลล์ </t>
  </si>
  <si>
    <t xml:space="preserve">1.ค่าอุปกรณ์และการติดตั้งแผงโซล่าร์เซลล์ จำนวน 11 แห่ง     </t>
  </si>
  <si>
    <t>ต้นทุนติดตั้งแผงโซล่าร์เซลล์และอุปกรณ์ให้แก่ มทร.</t>
  </si>
  <si>
    <r>
      <t xml:space="preserve">ยูนิต (คำนวณ วันละ  </t>
    </r>
    <r>
      <rPr>
        <sz val="16"/>
        <color rgb="FFFF0000"/>
        <rFont val="Angsana New"/>
        <family val="1"/>
      </rPr>
      <t>5</t>
    </r>
    <r>
      <rPr>
        <sz val="16"/>
        <rFont val="Angsana New"/>
        <family val="1"/>
      </rPr>
      <t xml:space="preserve"> ชม. คิดชม.ละ </t>
    </r>
    <r>
      <rPr>
        <sz val="16"/>
        <color rgb="FFFF0000"/>
        <rFont val="Angsana New"/>
        <family val="1"/>
      </rPr>
      <t>5,000</t>
    </r>
    <r>
      <rPr>
        <sz val="16"/>
        <rFont val="Angsana New"/>
        <family val="1"/>
      </rPr>
      <t xml:space="preserve"> ยูนิต)</t>
    </r>
  </si>
  <si>
    <t>ค่าห้องปฏิบัติการ (ตามข้อตกลง)</t>
  </si>
  <si>
    <t>เงินทุนสำรองค่าบำรุงรักษาอุปกรณ์และสิ่งก่อสร้าง</t>
  </si>
  <si>
    <t>รายได้บริษัท ANE</t>
  </si>
  <si>
    <t>ผลตอบแทนบริษัท 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</si>
</sst>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_);_(* \(#,##0.00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sz val="10"/>
      <color rgb="FFFF0000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i/>
      <sz val="10"/>
      <name val="Tahoma"/>
      <family val="2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9" tint="0.7999816888943144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theme="4" tint="-0.499984740745262"/>
      <name val="Angsana New"/>
      <family val="1"/>
    </font>
    <font>
      <b/>
      <sz val="16"/>
      <color theme="4" tint="-0.499984740745262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  <font>
      <i/>
      <sz val="16"/>
      <name val="Angsana New"/>
      <family val="1"/>
    </font>
    <font>
      <i/>
      <sz val="16"/>
      <color theme="1"/>
      <name val="Angsana New"/>
      <family val="1"/>
    </font>
    <font>
      <b/>
      <i/>
      <sz val="16"/>
      <color rgb="FFFF0000"/>
      <name val="Angsana New"/>
      <family val="1"/>
    </font>
    <font>
      <i/>
      <sz val="16"/>
      <color rgb="FFFF0000"/>
      <name val="Angsana New"/>
      <family val="1"/>
    </font>
    <font>
      <i/>
      <sz val="16"/>
      <color rgb="FFC00000"/>
      <name val="Angsana New"/>
      <family val="1"/>
    </font>
    <font>
      <sz val="16"/>
      <color theme="0"/>
      <name val="Angsana New"/>
      <family val="1"/>
    </font>
    <font>
      <sz val="16"/>
      <color theme="2"/>
      <name val="Angsana New"/>
      <family val="1"/>
    </font>
    <font>
      <b/>
      <i/>
      <sz val="16"/>
      <color theme="1"/>
      <name val="Angsana New"/>
      <family val="1"/>
    </font>
    <font>
      <sz val="16"/>
      <color rgb="FFC00000"/>
      <name val="Angsana New"/>
      <family val="1"/>
    </font>
    <font>
      <b/>
      <sz val="16"/>
      <color rgb="FFFF0000"/>
      <name val="Angsana New"/>
      <family val="1"/>
    </font>
    <font>
      <b/>
      <sz val="18"/>
      <color theme="4" tint="-0.499984740745262"/>
      <name val="Angsana New"/>
      <family val="1"/>
    </font>
    <font>
      <i/>
      <sz val="16"/>
      <color theme="0"/>
      <name val="Angsana New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3" applyFont="1" applyAlignment="1" applyProtection="1">
      <alignment vertical="center"/>
      <protection locked="0"/>
    </xf>
    <xf numFmtId="165" fontId="4" fillId="0" borderId="0" xfId="4" applyNumberFormat="1" applyFont="1" applyFill="1" applyBorder="1" applyAlignment="1" applyProtection="1">
      <alignment vertical="center"/>
      <protection locked="0"/>
    </xf>
    <xf numFmtId="37" fontId="4" fillId="0" borderId="0" xfId="3" applyNumberFormat="1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43" fontId="7" fillId="0" borderId="0" xfId="0" applyNumberFormat="1" applyFont="1"/>
    <xf numFmtId="43" fontId="8" fillId="0" borderId="0" xfId="0" applyNumberFormat="1" applyFont="1"/>
    <xf numFmtId="0" fontId="9" fillId="2" borderId="0" xfId="0" applyFont="1" applyFill="1"/>
    <xf numFmtId="8" fontId="9" fillId="2" borderId="0" xfId="0" applyNumberFormat="1" applyFont="1" applyFill="1"/>
    <xf numFmtId="10" fontId="9" fillId="2" borderId="0" xfId="2" applyNumberFormat="1" applyFont="1" applyFill="1"/>
    <xf numFmtId="0" fontId="10" fillId="0" borderId="0" xfId="0" applyFont="1"/>
    <xf numFmtId="43" fontId="10" fillId="0" borderId="0" xfId="0" applyNumberFormat="1" applyFont="1"/>
    <xf numFmtId="0" fontId="2" fillId="0" borderId="0" xfId="0" applyFont="1"/>
    <xf numFmtId="43" fontId="11" fillId="0" borderId="0" xfId="0" applyNumberFormat="1" applyFont="1"/>
    <xf numFmtId="2" fontId="0" fillId="0" borderId="0" xfId="0" applyNumberFormat="1"/>
    <xf numFmtId="164" fontId="0" fillId="0" borderId="0" xfId="0" applyNumberFormat="1"/>
    <xf numFmtId="43" fontId="9" fillId="2" borderId="0" xfId="1" applyFont="1" applyFill="1"/>
    <xf numFmtId="0" fontId="12" fillId="0" borderId="0" xfId="0" applyFont="1"/>
    <xf numFmtId="43" fontId="12" fillId="0" borderId="0" xfId="0" applyNumberFormat="1" applyFont="1"/>
    <xf numFmtId="0" fontId="13" fillId="0" borderId="0" xfId="3" applyFont="1" applyAlignment="1" applyProtection="1">
      <alignment vertical="center"/>
      <protection locked="0"/>
    </xf>
    <xf numFmtId="0" fontId="14" fillId="3" borderId="0" xfId="3" applyFont="1" applyFill="1" applyAlignment="1" applyProtection="1">
      <alignment vertical="center"/>
      <protection locked="0"/>
    </xf>
    <xf numFmtId="0" fontId="6" fillId="5" borderId="0" xfId="0" applyFont="1" applyFill="1"/>
    <xf numFmtId="43" fontId="6" fillId="5" borderId="0" xfId="0" applyNumberFormat="1" applyFont="1" applyFill="1"/>
    <xf numFmtId="43" fontId="15" fillId="0" borderId="0" xfId="1" applyFont="1"/>
    <xf numFmtId="0" fontId="16" fillId="0" borderId="0" xfId="0" applyFont="1"/>
    <xf numFmtId="43" fontId="16" fillId="0" borderId="0" xfId="0" applyNumberFormat="1" applyFont="1"/>
    <xf numFmtId="166" fontId="4" fillId="4" borderId="0" xfId="1" applyNumberFormat="1" applyFont="1" applyFill="1" applyAlignment="1" applyProtection="1">
      <alignment vertical="center"/>
      <protection locked="0"/>
    </xf>
    <xf numFmtId="0" fontId="17" fillId="0" borderId="0" xfId="0" applyFont="1"/>
    <xf numFmtId="43" fontId="17" fillId="0" borderId="0" xfId="0" applyNumberFormat="1" applyFont="1"/>
    <xf numFmtId="43" fontId="18" fillId="0" borderId="0" xfId="0" applyNumberFormat="1" applyFont="1"/>
    <xf numFmtId="0" fontId="19" fillId="5" borderId="0" xfId="0" applyFont="1" applyFill="1"/>
    <xf numFmtId="0" fontId="19" fillId="0" borderId="0" xfId="0" applyFont="1"/>
    <xf numFmtId="166" fontId="4" fillId="0" borderId="0" xfId="1" applyNumberFormat="1" applyFont="1" applyFill="1" applyAlignment="1" applyProtection="1">
      <alignment vertical="center"/>
      <protection locked="0"/>
    </xf>
    <xf numFmtId="0" fontId="0" fillId="5" borderId="0" xfId="0" applyFill="1"/>
    <xf numFmtId="0" fontId="4" fillId="5" borderId="0" xfId="3" applyFont="1" applyFill="1" applyAlignment="1" applyProtection="1">
      <alignment vertical="center"/>
      <protection locked="0"/>
    </xf>
    <xf numFmtId="37" fontId="4" fillId="5" borderId="0" xfId="3" applyNumberFormat="1" applyFont="1" applyFill="1" applyAlignment="1" applyProtection="1">
      <alignment vertical="center"/>
      <protection locked="0"/>
    </xf>
    <xf numFmtId="166" fontId="4" fillId="5" borderId="0" xfId="1" applyNumberFormat="1" applyFont="1" applyFill="1" applyAlignment="1" applyProtection="1">
      <alignment vertical="center"/>
      <protection locked="0"/>
    </xf>
    <xf numFmtId="9" fontId="4" fillId="0" borderId="0" xfId="2" applyFont="1" applyFill="1" applyAlignment="1" applyProtection="1">
      <alignment vertical="center"/>
      <protection locked="0"/>
    </xf>
    <xf numFmtId="164" fontId="6" fillId="0" borderId="0" xfId="0" applyNumberFormat="1" applyFont="1" applyAlignment="1">
      <alignment horizontal="center"/>
    </xf>
    <xf numFmtId="165" fontId="20" fillId="5" borderId="0" xfId="0" applyNumberFormat="1" applyFont="1" applyFill="1"/>
    <xf numFmtId="43" fontId="21" fillId="0" borderId="0" xfId="1" applyFont="1"/>
    <xf numFmtId="0" fontId="22" fillId="6" borderId="0" xfId="0" applyFont="1" applyFill="1"/>
    <xf numFmtId="0" fontId="22" fillId="0" borderId="0" xfId="0" applyFont="1"/>
    <xf numFmtId="0" fontId="23" fillId="0" borderId="0" xfId="3" applyFont="1" applyAlignment="1" applyProtection="1">
      <alignment vertical="center"/>
      <protection locked="0"/>
    </xf>
    <xf numFmtId="0" fontId="24" fillId="6" borderId="0" xfId="0" applyFont="1" applyFill="1"/>
    <xf numFmtId="43" fontId="22" fillId="6" borderId="0" xfId="1" applyFont="1" applyFill="1"/>
    <xf numFmtId="0" fontId="25" fillId="9" borderId="0" xfId="0" applyFont="1" applyFill="1" applyAlignment="1">
      <alignment horizontal="right"/>
    </xf>
    <xf numFmtId="43" fontId="26" fillId="9" borderId="0" xfId="0" applyNumberFormat="1" applyFont="1" applyFill="1"/>
    <xf numFmtId="0" fontId="24" fillId="0" borderId="0" xfId="0" applyFont="1" applyAlignment="1">
      <alignment horizontal="right"/>
    </xf>
    <xf numFmtId="43" fontId="22" fillId="0" borderId="0" xfId="0" applyNumberFormat="1" applyFont="1"/>
    <xf numFmtId="0" fontId="22" fillId="5" borderId="0" xfId="0" applyFont="1" applyFill="1"/>
    <xf numFmtId="0" fontId="23" fillId="5" borderId="0" xfId="3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165" fontId="23" fillId="0" borderId="0" xfId="4" applyNumberFormat="1" applyFont="1" applyFill="1" applyBorder="1" applyAlignment="1" applyProtection="1">
      <alignment vertical="center"/>
      <protection locked="0"/>
    </xf>
    <xf numFmtId="0" fontId="28" fillId="0" borderId="0" xfId="3" applyFont="1" applyAlignment="1" applyProtection="1">
      <alignment vertical="center"/>
      <protection locked="0"/>
    </xf>
    <xf numFmtId="0" fontId="29" fillId="3" borderId="0" xfId="3" applyFont="1" applyFill="1" applyAlignment="1" applyProtection="1">
      <alignment vertical="center"/>
      <protection locked="0"/>
    </xf>
    <xf numFmtId="37" fontId="23" fillId="0" borderId="0" xfId="3" applyNumberFormat="1" applyFont="1" applyAlignment="1" applyProtection="1">
      <alignment vertical="center"/>
      <protection locked="0"/>
    </xf>
    <xf numFmtId="166" fontId="23" fillId="4" borderId="0" xfId="1" applyNumberFormat="1" applyFont="1" applyFill="1" applyAlignment="1" applyProtection="1">
      <alignment vertical="center"/>
      <protection locked="0"/>
    </xf>
    <xf numFmtId="0" fontId="24" fillId="0" borderId="0" xfId="0" applyFont="1"/>
    <xf numFmtId="166" fontId="23" fillId="0" borderId="0" xfId="1" applyNumberFormat="1" applyFont="1" applyFill="1" applyAlignment="1" applyProtection="1">
      <alignment vertical="center"/>
      <protection locked="0"/>
    </xf>
    <xf numFmtId="37" fontId="23" fillId="5" borderId="0" xfId="3" applyNumberFormat="1" applyFont="1" applyFill="1" applyAlignment="1" applyProtection="1">
      <alignment vertical="center"/>
      <protection locked="0"/>
    </xf>
    <xf numFmtId="166" fontId="23" fillId="5" borderId="0" xfId="1" applyNumberFormat="1" applyFont="1" applyFill="1" applyAlignment="1" applyProtection="1">
      <alignment vertical="center"/>
      <protection locked="0"/>
    </xf>
    <xf numFmtId="0" fontId="22" fillId="8" borderId="0" xfId="0" applyFont="1" applyFill="1"/>
    <xf numFmtId="0" fontId="24" fillId="8" borderId="0" xfId="0" applyFont="1" applyFill="1"/>
    <xf numFmtId="43" fontId="22" fillId="8" borderId="0" xfId="1" applyFont="1" applyFill="1"/>
    <xf numFmtId="0" fontId="25" fillId="7" borderId="0" xfId="0" applyFont="1" applyFill="1" applyAlignment="1">
      <alignment horizontal="right"/>
    </xf>
    <xf numFmtId="43" fontId="26" fillId="7" borderId="0" xfId="0" applyNumberFormat="1" applyFont="1" applyFill="1"/>
    <xf numFmtId="9" fontId="23" fillId="0" borderId="0" xfId="2" applyFont="1" applyFill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30" fillId="0" borderId="0" xfId="0" applyFont="1"/>
    <xf numFmtId="43" fontId="30" fillId="0" borderId="0" xfId="1" applyFont="1"/>
    <xf numFmtId="43" fontId="31" fillId="0" borderId="0" xfId="0" applyNumberFormat="1" applyFont="1"/>
    <xf numFmtId="0" fontId="30" fillId="0" borderId="0" xfId="0" applyFont="1" applyAlignment="1">
      <alignment horizontal="center"/>
    </xf>
    <xf numFmtId="43" fontId="32" fillId="0" borderId="0" xfId="0" applyNumberFormat="1" applyFont="1"/>
    <xf numFmtId="43" fontId="30" fillId="0" borderId="0" xfId="0" applyNumberFormat="1" applyFont="1"/>
    <xf numFmtId="164" fontId="30" fillId="0" borderId="0" xfId="0" applyNumberFormat="1" applyFont="1" applyAlignment="1">
      <alignment horizontal="center"/>
    </xf>
    <xf numFmtId="0" fontId="33" fillId="0" borderId="0" xfId="0" applyFont="1"/>
    <xf numFmtId="43" fontId="33" fillId="0" borderId="0" xfId="0" applyNumberFormat="1" applyFont="1"/>
    <xf numFmtId="0" fontId="30" fillId="5" borderId="0" xfId="0" applyFont="1" applyFill="1"/>
    <xf numFmtId="43" fontId="30" fillId="5" borderId="0" xfId="0" applyNumberFormat="1" applyFont="1" applyFill="1"/>
    <xf numFmtId="0" fontId="34" fillId="0" borderId="0" xfId="0" applyFont="1"/>
    <xf numFmtId="43" fontId="34" fillId="0" borderId="0" xfId="0" applyNumberFormat="1" applyFont="1"/>
    <xf numFmtId="0" fontId="26" fillId="0" borderId="0" xfId="0" applyFont="1"/>
    <xf numFmtId="43" fontId="35" fillId="0" borderId="0" xfId="0" applyNumberFormat="1" applyFont="1"/>
    <xf numFmtId="0" fontId="35" fillId="0" borderId="0" xfId="0" applyFont="1"/>
    <xf numFmtId="0" fontId="36" fillId="2" borderId="0" xfId="0" applyFont="1" applyFill="1"/>
    <xf numFmtId="8" fontId="36" fillId="2" borderId="0" xfId="0" applyNumberFormat="1" applyFont="1" applyFill="1"/>
    <xf numFmtId="2" fontId="22" fillId="0" borderId="0" xfId="0" applyNumberFormat="1" applyFont="1"/>
    <xf numFmtId="10" fontId="36" fillId="2" borderId="0" xfId="2" applyNumberFormat="1" applyFont="1" applyFill="1"/>
    <xf numFmtId="43" fontId="36" fillId="2" borderId="0" xfId="1" applyFont="1" applyFill="1"/>
    <xf numFmtId="164" fontId="22" fillId="0" borderId="0" xfId="0" applyNumberFormat="1" applyFont="1"/>
    <xf numFmtId="43" fontId="37" fillId="0" borderId="0" xfId="1" applyFont="1"/>
    <xf numFmtId="43" fontId="37" fillId="0" borderId="0" xfId="0" applyNumberFormat="1" applyFont="1"/>
    <xf numFmtId="0" fontId="38" fillId="0" borderId="0" xfId="0" applyFont="1"/>
    <xf numFmtId="0" fontId="32" fillId="0" borderId="0" xfId="0" applyFont="1"/>
    <xf numFmtId="0" fontId="26" fillId="6" borderId="0" xfId="0" applyFont="1" applyFill="1"/>
    <xf numFmtId="0" fontId="25" fillId="5" borderId="0" xfId="0" applyFont="1" applyFill="1"/>
    <xf numFmtId="0" fontId="39" fillId="5" borderId="0" xfId="0" applyFont="1" applyFill="1"/>
    <xf numFmtId="43" fontId="40" fillId="0" borderId="0" xfId="1" applyFont="1"/>
  </cellXfs>
  <cellStyles count="5">
    <cellStyle name="Normal_ch19" xfId="3" xr:uid="{00000000-0005-0000-0000-000002000000}"/>
    <cellStyle name="เครื่องหมายจุลภาค_EXCEL7" xfId="4" xr:uid="{00000000-0005-0000-0000-000004000000}"/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tabSelected="1" zoomScale="99" zoomScaleNormal="99" workbookViewId="0">
      <selection activeCell="B19" sqref="B19"/>
    </sheetView>
  </sheetViews>
  <sheetFormatPr defaultColWidth="8.85546875" defaultRowHeight="23.25" x14ac:dyDescent="0.5"/>
  <cols>
    <col min="1" max="1" width="53.7109375" style="46" bestFit="1" customWidth="1"/>
    <col min="2" max="2" width="15.7109375" style="46" customWidth="1"/>
    <col min="3" max="3" width="14.7109375" style="46" customWidth="1"/>
    <col min="4" max="4" width="14.5703125" style="46" customWidth="1"/>
    <col min="5" max="5" width="14.7109375" style="46" customWidth="1"/>
    <col min="6" max="19" width="14.85546875" style="46" bestFit="1" customWidth="1"/>
    <col min="20" max="22" width="14" style="46" customWidth="1"/>
    <col min="23" max="23" width="15.7109375" style="46" customWidth="1"/>
    <col min="24" max="16384" width="8.85546875" style="46"/>
  </cols>
  <sheetData>
    <row r="1" spans="1:22" x14ac:dyDescent="0.5">
      <c r="A1" s="99" t="s">
        <v>95</v>
      </c>
      <c r="B1" s="45"/>
      <c r="D1" s="47"/>
    </row>
    <row r="2" spans="1:22" x14ac:dyDescent="0.5">
      <c r="A2" s="48" t="s">
        <v>92</v>
      </c>
      <c r="B2" s="45" t="s">
        <v>93</v>
      </c>
      <c r="D2" s="47"/>
    </row>
    <row r="3" spans="1:22" x14ac:dyDescent="0.5">
      <c r="A3" s="48" t="s">
        <v>81</v>
      </c>
      <c r="B3" s="49">
        <v>604.44000000000005</v>
      </c>
      <c r="D3" s="47"/>
    </row>
    <row r="4" spans="1:22" x14ac:dyDescent="0.5">
      <c r="A4" s="48" t="s">
        <v>82</v>
      </c>
      <c r="B4" s="49">
        <v>459.54</v>
      </c>
      <c r="D4" s="47"/>
    </row>
    <row r="5" spans="1:22" x14ac:dyDescent="0.5">
      <c r="A5" s="48" t="s">
        <v>83</v>
      </c>
      <c r="B5" s="49">
        <v>341.55</v>
      </c>
      <c r="D5" s="47"/>
    </row>
    <row r="6" spans="1:22" x14ac:dyDescent="0.5">
      <c r="A6" s="48" t="s">
        <v>84</v>
      </c>
      <c r="B6" s="49">
        <v>408.48</v>
      </c>
      <c r="D6" s="47"/>
    </row>
    <row r="7" spans="1:22" x14ac:dyDescent="0.5">
      <c r="A7" s="48" t="s">
        <v>85</v>
      </c>
      <c r="B7" s="49">
        <v>110.4</v>
      </c>
      <c r="D7" s="47"/>
    </row>
    <row r="8" spans="1:22" x14ac:dyDescent="0.5">
      <c r="A8" s="48" t="s">
        <v>86</v>
      </c>
      <c r="B8" s="49">
        <v>408.48</v>
      </c>
      <c r="D8" s="47"/>
    </row>
    <row r="9" spans="1:22" x14ac:dyDescent="0.5">
      <c r="A9" s="48" t="s">
        <v>87</v>
      </c>
      <c r="B9" s="49">
        <v>139.38</v>
      </c>
      <c r="D9" s="47"/>
    </row>
    <row r="10" spans="1:22" x14ac:dyDescent="0.5">
      <c r="A10" s="48" t="s">
        <v>88</v>
      </c>
      <c r="B10" s="49">
        <v>350.52</v>
      </c>
      <c r="D10" s="47"/>
    </row>
    <row r="11" spans="1:22" x14ac:dyDescent="0.5">
      <c r="A11" s="48" t="s">
        <v>89</v>
      </c>
      <c r="B11" s="49">
        <v>999.8</v>
      </c>
      <c r="D11" s="47"/>
    </row>
    <row r="12" spans="1:22" x14ac:dyDescent="0.5">
      <c r="A12" s="48" t="s">
        <v>90</v>
      </c>
      <c r="B12" s="49">
        <v>149.04</v>
      </c>
      <c r="D12" s="47"/>
    </row>
    <row r="13" spans="1:22" x14ac:dyDescent="0.5">
      <c r="A13" s="48" t="s">
        <v>91</v>
      </c>
      <c r="B13" s="49">
        <v>536.05999999999995</v>
      </c>
      <c r="D13" s="47"/>
    </row>
    <row r="14" spans="1:22" x14ac:dyDescent="0.5">
      <c r="A14" s="50" t="s">
        <v>94</v>
      </c>
      <c r="B14" s="51">
        <f>SUM(B3:B13)</f>
        <v>4507.6900000000005</v>
      </c>
      <c r="D14" s="47"/>
    </row>
    <row r="15" spans="1:22" x14ac:dyDescent="0.5">
      <c r="A15" s="52"/>
      <c r="B15" s="53"/>
      <c r="D15" s="47"/>
    </row>
    <row r="16" spans="1:22" ht="26.25" x14ac:dyDescent="0.55000000000000004">
      <c r="A16" s="101" t="s">
        <v>26</v>
      </c>
      <c r="B16" s="54"/>
      <c r="C16" s="54"/>
      <c r="D16" s="55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x14ac:dyDescent="0.5">
      <c r="A17" s="52"/>
      <c r="B17" s="53"/>
      <c r="D17" s="47"/>
    </row>
    <row r="18" spans="1:22" x14ac:dyDescent="0.5">
      <c r="A18" s="56" t="s">
        <v>96</v>
      </c>
      <c r="B18" s="53"/>
      <c r="D18" s="47"/>
    </row>
    <row r="19" spans="1:22" x14ac:dyDescent="0.5">
      <c r="A19" s="47" t="s">
        <v>40</v>
      </c>
      <c r="B19" s="57">
        <f>5000*5</f>
        <v>25000</v>
      </c>
      <c r="C19" s="47" t="s">
        <v>100</v>
      </c>
      <c r="D19" s="47"/>
    </row>
    <row r="20" spans="1:22" x14ac:dyDescent="0.5">
      <c r="A20" s="58" t="s">
        <v>41</v>
      </c>
      <c r="B20" s="57"/>
      <c r="C20" s="47"/>
      <c r="D20" s="47"/>
    </row>
    <row r="21" spans="1:22" x14ac:dyDescent="0.5">
      <c r="A21" s="59" t="s">
        <v>42</v>
      </c>
      <c r="B21" s="57"/>
      <c r="C21" s="47"/>
      <c r="D21" s="47"/>
    </row>
    <row r="22" spans="1:22" x14ac:dyDescent="0.5">
      <c r="A22" s="60" t="s">
        <v>44</v>
      </c>
      <c r="B22" s="60">
        <v>246</v>
      </c>
      <c r="C22" s="47" t="s">
        <v>0</v>
      </c>
      <c r="D22" s="47" t="s">
        <v>1</v>
      </c>
      <c r="F22" s="61">
        <f>3.3471*1.07</f>
        <v>3.5813970000000004</v>
      </c>
      <c r="G22" s="46" t="s">
        <v>33</v>
      </c>
    </row>
    <row r="23" spans="1:22" x14ac:dyDescent="0.5">
      <c r="A23" s="59" t="s">
        <v>43</v>
      </c>
      <c r="B23" s="60"/>
      <c r="C23" s="47"/>
      <c r="D23" s="47"/>
    </row>
    <row r="24" spans="1:22" x14ac:dyDescent="0.5">
      <c r="A24" s="60" t="s">
        <v>44</v>
      </c>
      <c r="B24" s="60">
        <v>119</v>
      </c>
      <c r="C24" s="47" t="s">
        <v>0</v>
      </c>
      <c r="D24" s="47" t="s">
        <v>1</v>
      </c>
      <c r="F24" s="61">
        <f>2.0803*1.07</f>
        <v>2.225921</v>
      </c>
      <c r="G24" s="46" t="s">
        <v>33</v>
      </c>
    </row>
    <row r="25" spans="1:22" ht="22.15" customHeight="1" x14ac:dyDescent="0.5">
      <c r="A25" s="62" t="s">
        <v>38</v>
      </c>
      <c r="B25" s="60">
        <v>130000000</v>
      </c>
      <c r="C25" s="47" t="s">
        <v>33</v>
      </c>
      <c r="D25" s="47"/>
      <c r="F25" s="63"/>
    </row>
    <row r="26" spans="1:22" ht="22.15" customHeight="1" x14ac:dyDescent="0.5">
      <c r="A26" s="62"/>
      <c r="B26" s="60"/>
      <c r="C26" s="47"/>
      <c r="D26" s="47"/>
      <c r="F26" s="63"/>
    </row>
    <row r="27" spans="1:22" ht="22.15" customHeight="1" x14ac:dyDescent="0.5">
      <c r="A27" s="62"/>
      <c r="B27" s="60"/>
      <c r="C27" s="47"/>
      <c r="D27" s="47"/>
      <c r="F27" s="63"/>
    </row>
    <row r="28" spans="1:22" ht="26.45" customHeight="1" x14ac:dyDescent="0.5">
      <c r="A28" s="62"/>
      <c r="B28" s="60"/>
      <c r="C28" s="47"/>
      <c r="D28" s="47"/>
      <c r="F28" s="63"/>
    </row>
    <row r="29" spans="1:22" ht="26.45" customHeight="1" x14ac:dyDescent="0.5">
      <c r="A29" s="100" t="s">
        <v>25</v>
      </c>
      <c r="B29" s="64"/>
      <c r="C29" s="55"/>
      <c r="D29" s="55"/>
      <c r="E29" s="54"/>
      <c r="F29" s="65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 x14ac:dyDescent="0.5">
      <c r="A30" s="66" t="s">
        <v>97</v>
      </c>
      <c r="B30" s="66"/>
      <c r="D30" s="47"/>
    </row>
    <row r="31" spans="1:22" x14ac:dyDescent="0.5">
      <c r="A31" s="67" t="s">
        <v>98</v>
      </c>
      <c r="B31" s="66"/>
      <c r="D31" s="47"/>
    </row>
    <row r="32" spans="1:22" x14ac:dyDescent="0.5">
      <c r="A32" s="67" t="s">
        <v>81</v>
      </c>
      <c r="B32" s="68">
        <v>20358669.5</v>
      </c>
      <c r="D32" s="47"/>
    </row>
    <row r="33" spans="1:6" x14ac:dyDescent="0.5">
      <c r="A33" s="67" t="s">
        <v>82</v>
      </c>
      <c r="B33" s="68">
        <v>12814707</v>
      </c>
      <c r="D33" s="47"/>
    </row>
    <row r="34" spans="1:6" x14ac:dyDescent="0.5">
      <c r="A34" s="67" t="s">
        <v>83</v>
      </c>
      <c r="B34" s="68">
        <v>10038585</v>
      </c>
      <c r="D34" s="47"/>
    </row>
    <row r="35" spans="1:6" x14ac:dyDescent="0.5">
      <c r="A35" s="67" t="s">
        <v>84</v>
      </c>
      <c r="B35" s="68">
        <v>12863054</v>
      </c>
      <c r="D35" s="47"/>
    </row>
    <row r="36" spans="1:6" x14ac:dyDescent="0.5">
      <c r="A36" s="67" t="s">
        <v>85</v>
      </c>
      <c r="B36" s="68">
        <v>2838910</v>
      </c>
      <c r="D36" s="47"/>
    </row>
    <row r="37" spans="1:6" x14ac:dyDescent="0.5">
      <c r="A37" s="67" t="s">
        <v>86</v>
      </c>
      <c r="B37" s="68">
        <v>12863054</v>
      </c>
      <c r="D37" s="47"/>
    </row>
    <row r="38" spans="1:6" x14ac:dyDescent="0.5">
      <c r="A38" s="67" t="s">
        <v>87</v>
      </c>
      <c r="B38" s="68">
        <v>3368224</v>
      </c>
      <c r="D38" s="47"/>
    </row>
    <row r="39" spans="1:6" x14ac:dyDescent="0.5">
      <c r="A39" s="67" t="s">
        <v>88</v>
      </c>
      <c r="B39" s="68">
        <v>10695206</v>
      </c>
      <c r="D39" s="47"/>
    </row>
    <row r="40" spans="1:6" x14ac:dyDescent="0.5">
      <c r="A40" s="67" t="s">
        <v>89</v>
      </c>
      <c r="B40" s="68">
        <v>27167510</v>
      </c>
      <c r="D40" s="47"/>
    </row>
    <row r="41" spans="1:6" x14ac:dyDescent="0.5">
      <c r="A41" s="67" t="s">
        <v>90</v>
      </c>
      <c r="B41" s="68">
        <v>3087232</v>
      </c>
      <c r="D41" s="47"/>
    </row>
    <row r="42" spans="1:6" x14ac:dyDescent="0.5">
      <c r="A42" s="67" t="s">
        <v>91</v>
      </c>
      <c r="B42" s="68">
        <v>14259678</v>
      </c>
      <c r="D42" s="47"/>
    </row>
    <row r="43" spans="1:6" x14ac:dyDescent="0.5">
      <c r="A43" s="69" t="s">
        <v>94</v>
      </c>
      <c r="B43" s="70">
        <f>SUM(B32:B42)</f>
        <v>130354829.5</v>
      </c>
      <c r="D43" s="47"/>
    </row>
    <row r="44" spans="1:6" ht="33" customHeight="1" x14ac:dyDescent="0.5">
      <c r="A44" s="52"/>
      <c r="B44" s="53"/>
      <c r="D44" s="47"/>
    </row>
    <row r="45" spans="1:6" ht="26.45" customHeight="1" x14ac:dyDescent="0.5">
      <c r="A45" s="47" t="s">
        <v>99</v>
      </c>
      <c r="B45" s="60">
        <v>130000000</v>
      </c>
      <c r="C45" s="47" t="s">
        <v>33</v>
      </c>
      <c r="D45" s="47"/>
      <c r="F45" s="63"/>
    </row>
    <row r="46" spans="1:6" ht="26.45" customHeight="1" x14ac:dyDescent="0.5">
      <c r="A46" s="47" t="s">
        <v>39</v>
      </c>
      <c r="B46" s="60">
        <v>20000000</v>
      </c>
      <c r="C46" s="47" t="s">
        <v>33</v>
      </c>
      <c r="D46" s="47"/>
      <c r="F46" s="63"/>
    </row>
    <row r="47" spans="1:6" ht="22.9" customHeight="1" x14ac:dyDescent="0.5">
      <c r="A47" s="47" t="s">
        <v>57</v>
      </c>
      <c r="B47" s="60">
        <v>300000</v>
      </c>
      <c r="C47" s="47" t="s">
        <v>45</v>
      </c>
      <c r="D47" s="47"/>
      <c r="F47" s="63"/>
    </row>
    <row r="48" spans="1:6" ht="21" customHeight="1" x14ac:dyDescent="0.5">
      <c r="A48" s="47" t="s">
        <v>48</v>
      </c>
      <c r="B48" s="71">
        <v>0.01</v>
      </c>
      <c r="C48" s="47" t="s">
        <v>47</v>
      </c>
      <c r="D48" s="47"/>
      <c r="F48" s="63"/>
    </row>
    <row r="49" spans="1:23" x14ac:dyDescent="0.5">
      <c r="A49" s="60" t="s">
        <v>49</v>
      </c>
      <c r="B49" s="71">
        <v>0.2</v>
      </c>
      <c r="C49" s="47" t="s">
        <v>50</v>
      </c>
      <c r="D49" s="47"/>
      <c r="F49" s="63"/>
    </row>
    <row r="50" spans="1:23" x14ac:dyDescent="0.5">
      <c r="A50" s="60"/>
      <c r="B50" s="71"/>
      <c r="C50" s="47"/>
      <c r="D50" s="47"/>
      <c r="F50" s="63"/>
    </row>
    <row r="52" spans="1:23" s="72" customFormat="1" x14ac:dyDescent="0.5">
      <c r="A52" s="72" t="s">
        <v>3</v>
      </c>
      <c r="B52" s="72" t="s">
        <v>4</v>
      </c>
      <c r="C52" s="72" t="s">
        <v>5</v>
      </c>
      <c r="D52" s="72" t="s">
        <v>6</v>
      </c>
      <c r="E52" s="72" t="s">
        <v>7</v>
      </c>
      <c r="F52" s="72" t="s">
        <v>8</v>
      </c>
      <c r="G52" s="72" t="s">
        <v>9</v>
      </c>
      <c r="H52" s="72" t="s">
        <v>10</v>
      </c>
      <c r="I52" s="72" t="s">
        <v>11</v>
      </c>
      <c r="J52" s="72" t="s">
        <v>12</v>
      </c>
      <c r="K52" s="72" t="s">
        <v>13</v>
      </c>
      <c r="L52" s="72" t="s">
        <v>14</v>
      </c>
      <c r="M52" s="72" t="s">
        <v>15</v>
      </c>
      <c r="N52" s="72" t="s">
        <v>16</v>
      </c>
      <c r="O52" s="72" t="s">
        <v>17</v>
      </c>
      <c r="P52" s="72" t="s">
        <v>18</v>
      </c>
      <c r="Q52" s="72" t="s">
        <v>19</v>
      </c>
      <c r="R52" s="72" t="s">
        <v>20</v>
      </c>
      <c r="S52" s="72" t="s">
        <v>21</v>
      </c>
      <c r="T52" s="72" t="s">
        <v>22</v>
      </c>
      <c r="U52" s="72" t="s">
        <v>23</v>
      </c>
      <c r="V52" s="72" t="s">
        <v>24</v>
      </c>
    </row>
    <row r="53" spans="1:23" x14ac:dyDescent="0.5">
      <c r="A53" s="97" t="s">
        <v>26</v>
      </c>
    </row>
    <row r="54" spans="1:23" x14ac:dyDescent="0.5">
      <c r="A54" s="73" t="s">
        <v>54</v>
      </c>
      <c r="B54" s="74">
        <v>0</v>
      </c>
      <c r="C54" s="74">
        <f>((($B$19*$B$22*$F$22)-((($B$19*$B$22*$F$22)*10%))+((($B$19*$B$24)*$F$24)+((($B$19*$B$22)*$F$24)*10%))))</f>
        <v>27814088.785</v>
      </c>
      <c r="D54" s="74">
        <f t="shared" ref="D54:V54" si="0">((($B$19*$B$22*$F$22)-((($B$19*$B$22*$F$22)*10%))+((($B$19*$B$24)*$F$24)+((($B$19*$B$22)*$F$24)*10%))))</f>
        <v>27814088.785</v>
      </c>
      <c r="E54" s="74">
        <f t="shared" si="0"/>
        <v>27814088.785</v>
      </c>
      <c r="F54" s="74">
        <f t="shared" si="0"/>
        <v>27814088.785</v>
      </c>
      <c r="G54" s="74">
        <f t="shared" si="0"/>
        <v>27814088.785</v>
      </c>
      <c r="H54" s="74">
        <f t="shared" si="0"/>
        <v>27814088.785</v>
      </c>
      <c r="I54" s="74">
        <f t="shared" si="0"/>
        <v>27814088.785</v>
      </c>
      <c r="J54" s="74">
        <f t="shared" si="0"/>
        <v>27814088.785</v>
      </c>
      <c r="K54" s="74">
        <f t="shared" si="0"/>
        <v>27814088.785</v>
      </c>
      <c r="L54" s="74">
        <f t="shared" si="0"/>
        <v>27814088.785</v>
      </c>
      <c r="M54" s="74">
        <f t="shared" si="0"/>
        <v>27814088.785</v>
      </c>
      <c r="N54" s="74">
        <f t="shared" si="0"/>
        <v>27814088.785</v>
      </c>
      <c r="O54" s="74">
        <f t="shared" si="0"/>
        <v>27814088.785</v>
      </c>
      <c r="P54" s="74">
        <f t="shared" si="0"/>
        <v>27814088.785</v>
      </c>
      <c r="Q54" s="74">
        <f t="shared" si="0"/>
        <v>27814088.785</v>
      </c>
      <c r="R54" s="74">
        <f t="shared" si="0"/>
        <v>27814088.785</v>
      </c>
      <c r="S54" s="74">
        <f t="shared" si="0"/>
        <v>27814088.785</v>
      </c>
      <c r="T54" s="74">
        <f t="shared" si="0"/>
        <v>27814088.785</v>
      </c>
      <c r="U54" s="74">
        <f t="shared" si="0"/>
        <v>27814088.785</v>
      </c>
      <c r="V54" s="74">
        <f t="shared" si="0"/>
        <v>27814088.785</v>
      </c>
      <c r="W54" s="75">
        <f>SUM(B54:V54)</f>
        <v>556281775.70000029</v>
      </c>
    </row>
    <row r="55" spans="1:23" s="72" customFormat="1" x14ac:dyDescent="0.5">
      <c r="A55" s="73" t="s">
        <v>29</v>
      </c>
      <c r="B55" s="74">
        <v>130000000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5">
        <f t="shared" ref="W55:W57" si="1">SUM(B55:V55)</f>
        <v>130000000</v>
      </c>
    </row>
    <row r="56" spans="1:23" s="72" customFormat="1" ht="12.6" customHeight="1" x14ac:dyDescent="0.5">
      <c r="A56" s="73"/>
      <c r="B56" s="74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5"/>
    </row>
    <row r="57" spans="1:23" x14ac:dyDescent="0.5">
      <c r="A57" s="97" t="s">
        <v>25</v>
      </c>
      <c r="W57" s="75">
        <f t="shared" si="1"/>
        <v>0</v>
      </c>
    </row>
    <row r="58" spans="1:23" s="73" customFormat="1" x14ac:dyDescent="0.5">
      <c r="A58" s="73" t="s">
        <v>51</v>
      </c>
      <c r="B58" s="77">
        <f>B55</f>
        <v>130000000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5">
        <f>SUM(C58:V58)</f>
        <v>0</v>
      </c>
    </row>
    <row r="59" spans="1:23" s="73" customFormat="1" x14ac:dyDescent="0.5">
      <c r="A59" s="73" t="s">
        <v>101</v>
      </c>
      <c r="B59" s="77">
        <v>20000000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0</v>
      </c>
      <c r="V59" s="76">
        <v>0</v>
      </c>
      <c r="W59" s="75">
        <f>SUM(B59:V59)</f>
        <v>20000000</v>
      </c>
    </row>
    <row r="60" spans="1:23" s="73" customFormat="1" x14ac:dyDescent="0.5">
      <c r="A60" s="73" t="s">
        <v>55</v>
      </c>
      <c r="B60" s="78">
        <f>300000*12</f>
        <v>3600000</v>
      </c>
      <c r="C60" s="78">
        <f>300000*12</f>
        <v>3600000</v>
      </c>
      <c r="D60" s="78">
        <f>C60*1.05</f>
        <v>3780000</v>
      </c>
      <c r="E60" s="78">
        <f t="shared" ref="E60:V60" si="2">D60*1.05</f>
        <v>3969000</v>
      </c>
      <c r="F60" s="78">
        <f t="shared" si="2"/>
        <v>4167450</v>
      </c>
      <c r="G60" s="78">
        <f t="shared" si="2"/>
        <v>4375822.5</v>
      </c>
      <c r="H60" s="78">
        <f t="shared" si="2"/>
        <v>4594613.625</v>
      </c>
      <c r="I60" s="78">
        <f t="shared" si="2"/>
        <v>4824344.3062500004</v>
      </c>
      <c r="J60" s="78">
        <f t="shared" si="2"/>
        <v>5065561.5215625009</v>
      </c>
      <c r="K60" s="78">
        <f t="shared" si="2"/>
        <v>5318839.5976406261</v>
      </c>
      <c r="L60" s="78">
        <f t="shared" si="2"/>
        <v>5584781.5775226578</v>
      </c>
      <c r="M60" s="78">
        <f t="shared" si="2"/>
        <v>5864020.6563987909</v>
      </c>
      <c r="N60" s="78">
        <f t="shared" si="2"/>
        <v>6157221.6892187307</v>
      </c>
      <c r="O60" s="78">
        <f t="shared" si="2"/>
        <v>6465082.7736796672</v>
      </c>
      <c r="P60" s="78">
        <f t="shared" si="2"/>
        <v>6788336.9123636512</v>
      </c>
      <c r="Q60" s="78">
        <f t="shared" si="2"/>
        <v>7127753.757981834</v>
      </c>
      <c r="R60" s="78">
        <f t="shared" si="2"/>
        <v>7484141.4458809262</v>
      </c>
      <c r="S60" s="78">
        <f t="shared" si="2"/>
        <v>7858348.5181749733</v>
      </c>
      <c r="T60" s="78">
        <f t="shared" si="2"/>
        <v>8251265.9440837223</v>
      </c>
      <c r="U60" s="78">
        <f t="shared" si="2"/>
        <v>8663829.2412879094</v>
      </c>
      <c r="V60" s="78">
        <f t="shared" si="2"/>
        <v>9097020.703352306</v>
      </c>
      <c r="W60" s="75">
        <f>SUM(C60:V60)</f>
        <v>119037434.77039829</v>
      </c>
    </row>
    <row r="61" spans="1:23" s="98" customFormat="1" x14ac:dyDescent="0.5">
      <c r="A61" s="98" t="s">
        <v>53</v>
      </c>
      <c r="B61" s="102">
        <v>-130000000</v>
      </c>
      <c r="C61" s="77">
        <f>C54*0.8</f>
        <v>22251271.028000001</v>
      </c>
      <c r="D61" s="77">
        <f t="shared" ref="D61:G61" si="3">D54*0.8</f>
        <v>22251271.028000001</v>
      </c>
      <c r="E61" s="77">
        <f t="shared" si="3"/>
        <v>22251271.028000001</v>
      </c>
      <c r="F61" s="77">
        <f t="shared" si="3"/>
        <v>22251271.028000001</v>
      </c>
      <c r="G61" s="77">
        <f t="shared" si="3"/>
        <v>22251271.028000001</v>
      </c>
      <c r="H61" s="77">
        <f>(H54*0.8*11/12)+(H54*0.5*1/12)</f>
        <v>21555918.808375001</v>
      </c>
      <c r="I61" s="77">
        <f>I54*0.5</f>
        <v>13907044.3925</v>
      </c>
      <c r="J61" s="77">
        <f t="shared" ref="J61:V61" si="4">J54*0.5</f>
        <v>13907044.3925</v>
      </c>
      <c r="K61" s="77">
        <f t="shared" si="4"/>
        <v>13907044.3925</v>
      </c>
      <c r="L61" s="77">
        <f t="shared" si="4"/>
        <v>13907044.3925</v>
      </c>
      <c r="M61" s="77">
        <f t="shared" si="4"/>
        <v>13907044.3925</v>
      </c>
      <c r="N61" s="77">
        <f t="shared" si="4"/>
        <v>13907044.3925</v>
      </c>
      <c r="O61" s="77">
        <f t="shared" si="4"/>
        <v>13907044.3925</v>
      </c>
      <c r="P61" s="77">
        <f t="shared" si="4"/>
        <v>13907044.3925</v>
      </c>
      <c r="Q61" s="77">
        <f t="shared" si="4"/>
        <v>13907044.3925</v>
      </c>
      <c r="R61" s="77">
        <f t="shared" si="4"/>
        <v>13907044.3925</v>
      </c>
      <c r="S61" s="77">
        <f t="shared" si="4"/>
        <v>13907044.3925</v>
      </c>
      <c r="T61" s="77">
        <f t="shared" si="4"/>
        <v>13907044.3925</v>
      </c>
      <c r="U61" s="77">
        <f t="shared" si="4"/>
        <v>13907044.3925</v>
      </c>
      <c r="V61" s="77">
        <f t="shared" si="4"/>
        <v>13907044.3925</v>
      </c>
      <c r="W61" s="75">
        <f>SUM(B61:V61)</f>
        <v>197510895.44337505</v>
      </c>
    </row>
    <row r="62" spans="1:23" s="73" customFormat="1" x14ac:dyDescent="0.5">
      <c r="A62" s="73" t="s">
        <v>102</v>
      </c>
      <c r="B62" s="77">
        <v>0</v>
      </c>
      <c r="C62" s="76">
        <v>0</v>
      </c>
      <c r="D62" s="76">
        <v>0</v>
      </c>
      <c r="E62" s="79">
        <f>B55*1/100</f>
        <v>1300000</v>
      </c>
      <c r="F62" s="79">
        <f>E62*1.05</f>
        <v>1365000</v>
      </c>
      <c r="G62" s="79">
        <f t="shared" ref="G62:V62" si="5">F62*1.05</f>
        <v>1433250</v>
      </c>
      <c r="H62" s="79">
        <f t="shared" si="5"/>
        <v>1504912.5</v>
      </c>
      <c r="I62" s="79">
        <f t="shared" si="5"/>
        <v>1580158.125</v>
      </c>
      <c r="J62" s="79">
        <f t="shared" si="5"/>
        <v>1659166.03125</v>
      </c>
      <c r="K62" s="79">
        <f t="shared" si="5"/>
        <v>1742124.3328125002</v>
      </c>
      <c r="L62" s="79">
        <f t="shared" si="5"/>
        <v>1829230.5494531253</v>
      </c>
      <c r="M62" s="79">
        <f t="shared" si="5"/>
        <v>1920692.0769257818</v>
      </c>
      <c r="N62" s="79">
        <f t="shared" si="5"/>
        <v>2016726.680772071</v>
      </c>
      <c r="O62" s="79">
        <f t="shared" si="5"/>
        <v>2117563.0148106748</v>
      </c>
      <c r="P62" s="79">
        <f t="shared" si="5"/>
        <v>2223441.1655512089</v>
      </c>
      <c r="Q62" s="79">
        <f t="shared" si="5"/>
        <v>2334613.2238287693</v>
      </c>
      <c r="R62" s="79">
        <f t="shared" si="5"/>
        <v>2451343.8850202081</v>
      </c>
      <c r="S62" s="79">
        <f t="shared" si="5"/>
        <v>2573911.0792712187</v>
      </c>
      <c r="T62" s="79">
        <f t="shared" si="5"/>
        <v>2702606.6332347798</v>
      </c>
      <c r="U62" s="79">
        <f t="shared" si="5"/>
        <v>2837736.9648965187</v>
      </c>
      <c r="V62" s="79">
        <f t="shared" si="5"/>
        <v>2979623.8131413446</v>
      </c>
      <c r="W62" s="75">
        <f>SUM(C62:V62)</f>
        <v>36572100.075968206</v>
      </c>
    </row>
    <row r="63" spans="1:23" s="80" customFormat="1" x14ac:dyDescent="0.5">
      <c r="A63" s="80" t="s">
        <v>49</v>
      </c>
      <c r="B63" s="81">
        <v>0</v>
      </c>
      <c r="C63" s="81">
        <f>(C54-C60-C61)*0.2</f>
        <v>392563.55139999988</v>
      </c>
      <c r="D63" s="81">
        <f t="shared" ref="D63:V63" si="6">(D54-D60-D61)*0.2</f>
        <v>356563.55139999988</v>
      </c>
      <c r="E63" s="81">
        <f t="shared" si="6"/>
        <v>318763.55139999988</v>
      </c>
      <c r="F63" s="81">
        <f t="shared" si="6"/>
        <v>279073.55139999988</v>
      </c>
      <c r="G63" s="81">
        <f t="shared" si="6"/>
        <v>237399.05139999988</v>
      </c>
      <c r="H63" s="81">
        <f t="shared" si="6"/>
        <v>332711.27032499987</v>
      </c>
      <c r="I63" s="81">
        <f t="shared" si="6"/>
        <v>1816540.0172499996</v>
      </c>
      <c r="J63" s="81">
        <f t="shared" si="6"/>
        <v>1768296.5741874997</v>
      </c>
      <c r="K63" s="81">
        <f t="shared" si="6"/>
        <v>1717640.9589718748</v>
      </c>
      <c r="L63" s="81">
        <f t="shared" si="6"/>
        <v>1664452.5629954685</v>
      </c>
      <c r="M63" s="81">
        <f t="shared" si="6"/>
        <v>1608604.7472202417</v>
      </c>
      <c r="N63" s="81">
        <f t="shared" si="6"/>
        <v>1549964.5406562542</v>
      </c>
      <c r="O63" s="81">
        <f t="shared" si="6"/>
        <v>1488392.3237640669</v>
      </c>
      <c r="P63" s="81">
        <f t="shared" si="6"/>
        <v>1423741.4960272696</v>
      </c>
      <c r="Q63" s="81">
        <f t="shared" si="6"/>
        <v>1355858.1269036336</v>
      </c>
      <c r="R63" s="81">
        <f t="shared" si="6"/>
        <v>1284580.5893238147</v>
      </c>
      <c r="S63" s="81">
        <f t="shared" si="6"/>
        <v>1209739.1748650055</v>
      </c>
      <c r="T63" s="81">
        <f t="shared" si="6"/>
        <v>1131155.6896832553</v>
      </c>
      <c r="U63" s="81">
        <f t="shared" si="6"/>
        <v>1048643.0302424182</v>
      </c>
      <c r="V63" s="81">
        <f t="shared" si="6"/>
        <v>962004.73782953888</v>
      </c>
      <c r="W63" s="75">
        <f>SUM(C63:V63)</f>
        <v>21946689.097245339</v>
      </c>
    </row>
    <row r="64" spans="1:23" s="73" customFormat="1" x14ac:dyDescent="0.5">
      <c r="A64" s="82" t="s">
        <v>103</v>
      </c>
      <c r="B64" s="83">
        <f>B54+B55-B58-B59-B60-B62-B63</f>
        <v>-23600000</v>
      </c>
      <c r="C64" s="83">
        <f>C54-C60-C61-C62-C63</f>
        <v>1570254.2055999995</v>
      </c>
      <c r="D64" s="83">
        <f>D54-D60-D61-D62-D63</f>
        <v>1426254.2055999995</v>
      </c>
      <c r="E64" s="83">
        <f t="shared" ref="E64" si="7">E54-E60-E61-E62-E63</f>
        <v>-24945.794400000595</v>
      </c>
      <c r="F64" s="83">
        <f>F54-F60-F61-F62-F63</f>
        <v>-248705.7944000006</v>
      </c>
      <c r="G64" s="83">
        <f t="shared" ref="G64" si="8">G54-G60-G61-G62-G63</f>
        <v>-483653.7944000006</v>
      </c>
      <c r="H64" s="83">
        <f t="shared" ref="H64" si="9">H54-H60-H61-H62-H63</f>
        <v>-174067.41870000068</v>
      </c>
      <c r="I64" s="83">
        <f t="shared" ref="I64" si="10">I54-I60-I61-I62-I63</f>
        <v>5686001.9439999983</v>
      </c>
      <c r="J64" s="83">
        <f t="shared" ref="J64" si="11">J54-J60-J61-J62-J63</f>
        <v>5414020.2654999988</v>
      </c>
      <c r="K64" s="83">
        <f t="shared" ref="K64" si="12">K54-K60-K61-K62-K63</f>
        <v>5128439.503074999</v>
      </c>
      <c r="L64" s="83">
        <f t="shared" ref="L64" si="13">L54-L60-L61-L62-L63</f>
        <v>4828579.7025287487</v>
      </c>
      <c r="M64" s="83">
        <f t="shared" ref="M64" si="14">M54-M60-M61-M62-M63</f>
        <v>4513726.9119551852</v>
      </c>
      <c r="N64" s="83">
        <f t="shared" ref="N64" si="15">N54-N60-N61-N62-N63</f>
        <v>4183131.4818529454</v>
      </c>
      <c r="O64" s="83">
        <f t="shared" ref="O64" si="16">O54-O60-O61-O62-O63</f>
        <v>3836006.2802455919</v>
      </c>
      <c r="P64" s="83">
        <f>P54-P60-P61-P62-P63</f>
        <v>3471524.8185578696</v>
      </c>
      <c r="Q64" s="83">
        <f t="shared" ref="Q64" si="17">Q54-Q60-Q61-Q62-Q63</f>
        <v>3088819.2837857641</v>
      </c>
      <c r="R64" s="83">
        <f t="shared" ref="R64" si="18">R54-R60-R61-R62-R63</f>
        <v>2686978.4722750504</v>
      </c>
      <c r="S64" s="83">
        <f t="shared" ref="S64" si="19">S54-S60-S61-S62-S63</f>
        <v>2265045.6201888034</v>
      </c>
      <c r="T64" s="83">
        <f t="shared" ref="T64" si="20">T54-T60-T61-T62-T63</f>
        <v>1822016.1254982408</v>
      </c>
      <c r="U64" s="83">
        <f t="shared" ref="U64" si="21">U54-U60-U61-U62-U63</f>
        <v>1356835.1560731537</v>
      </c>
      <c r="V64" s="83">
        <f t="shared" ref="V64" si="22">V54-V60-V61-V62-V63</f>
        <v>868395.13817681058</v>
      </c>
      <c r="W64" s="75">
        <f>SUM(C64:V64)</f>
        <v>51214656.313013159</v>
      </c>
    </row>
    <row r="65" spans="1:22" s="84" customFormat="1" x14ac:dyDescent="0.5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</row>
    <row r="66" spans="1:22" s="84" customFormat="1" x14ac:dyDescent="0.5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</row>
    <row r="67" spans="1:22" s="84" customFormat="1" x14ac:dyDescent="0.5"/>
    <row r="68" spans="1:22" s="88" customFormat="1" x14ac:dyDescent="0.5">
      <c r="A68" s="86" t="s">
        <v>56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</row>
    <row r="69" spans="1:22" x14ac:dyDescent="0.5">
      <c r="A69" s="89" t="s">
        <v>35</v>
      </c>
      <c r="B69" s="90">
        <f>NPV(0.05,B61:V61)</f>
        <v>81091766.544091046</v>
      </c>
      <c r="C69" s="91"/>
    </row>
    <row r="70" spans="1:22" x14ac:dyDescent="0.5">
      <c r="A70" s="89" t="s">
        <v>27</v>
      </c>
      <c r="B70" s="92">
        <f>IRR(B61:V61,0.05)</f>
        <v>0.13106087089628171</v>
      </c>
    </row>
    <row r="71" spans="1:22" x14ac:dyDescent="0.5">
      <c r="A71" s="89" t="s">
        <v>31</v>
      </c>
      <c r="B71" s="93">
        <v>5.92</v>
      </c>
      <c r="C71" s="94"/>
      <c r="E71" s="46" t="s">
        <v>32</v>
      </c>
    </row>
    <row r="72" spans="1:22" x14ac:dyDescent="0.5">
      <c r="A72" s="86"/>
      <c r="B72" s="46" t="s">
        <v>32</v>
      </c>
    </row>
    <row r="73" spans="1:22" s="84" customFormat="1" x14ac:dyDescent="0.5">
      <c r="C73" s="95"/>
    </row>
    <row r="74" spans="1:22" s="88" customFormat="1" x14ac:dyDescent="0.5">
      <c r="B74" s="87"/>
      <c r="C74" s="96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</row>
    <row r="75" spans="1:22" s="88" customFormat="1" x14ac:dyDescent="0.5"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</row>
    <row r="76" spans="1:22" s="88" customFormat="1" x14ac:dyDescent="0.5">
      <c r="A76" s="86" t="s">
        <v>104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</row>
    <row r="77" spans="1:22" x14ac:dyDescent="0.5">
      <c r="A77" s="89" t="s">
        <v>35</v>
      </c>
      <c r="B77" s="90">
        <f>NPV(0.05,B64:V64)</f>
        <v>6201898.4571294943</v>
      </c>
      <c r="C77" s="91"/>
    </row>
    <row r="78" spans="1:22" x14ac:dyDescent="0.5">
      <c r="A78" s="89" t="s">
        <v>27</v>
      </c>
      <c r="B78" s="92">
        <f>IRR(B64:V64,0.05)</f>
        <v>7.5304661893948577E-2</v>
      </c>
    </row>
    <row r="79" spans="1:22" x14ac:dyDescent="0.5">
      <c r="A79" s="89" t="s">
        <v>31</v>
      </c>
      <c r="B79" s="93"/>
      <c r="C79" s="94"/>
      <c r="D79" s="46" t="s">
        <v>32</v>
      </c>
      <c r="E79" s="46" t="s">
        <v>32</v>
      </c>
    </row>
    <row r="80" spans="1:22" x14ac:dyDescent="0.5">
      <c r="A80" s="86" t="s">
        <v>28</v>
      </c>
    </row>
  </sheetData>
  <pageMargins left="0.25" right="0.25" top="0.75" bottom="0.75" header="0.3" footer="0.3"/>
  <pageSetup paperSize="9" scale="3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4"/>
  <sheetViews>
    <sheetView topLeftCell="B22" zoomScale="99" zoomScaleNormal="99" workbookViewId="0">
      <selection activeCell="D31" sqref="D31:V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999.8*5</f>
        <v>4999</v>
      </c>
      <c r="C4" s="1" t="s">
        <v>77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76</v>
      </c>
      <c r="B13" s="3">
        <v>27167510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5561705.1934486004</v>
      </c>
      <c r="D23" s="6">
        <f t="shared" ref="D23:V23" si="0">((($B$4*$B$7*$F$7)-((($B$4*$B$7*$F$7)*10%))+((($B$4*$B$9)*$F$9)+((($B$4*$B$7)*$F$9)*10%))))</f>
        <v>5561705.1934486004</v>
      </c>
      <c r="E23" s="6">
        <f t="shared" si="0"/>
        <v>5561705.1934486004</v>
      </c>
      <c r="F23" s="6">
        <f t="shared" si="0"/>
        <v>5561705.1934486004</v>
      </c>
      <c r="G23" s="6">
        <f t="shared" si="0"/>
        <v>5561705.1934486004</v>
      </c>
      <c r="H23" s="6">
        <f t="shared" si="0"/>
        <v>5561705.1934486004</v>
      </c>
      <c r="I23" s="6">
        <f t="shared" si="0"/>
        <v>5561705.1934486004</v>
      </c>
      <c r="J23" s="6">
        <f t="shared" si="0"/>
        <v>5561705.1934486004</v>
      </c>
      <c r="K23" s="6">
        <f t="shared" si="0"/>
        <v>5561705.1934486004</v>
      </c>
      <c r="L23" s="6">
        <f t="shared" si="0"/>
        <v>5561705.1934486004</v>
      </c>
      <c r="M23" s="6">
        <f t="shared" si="0"/>
        <v>5561705.1934486004</v>
      </c>
      <c r="N23" s="6">
        <f t="shared" si="0"/>
        <v>5561705.1934486004</v>
      </c>
      <c r="O23" s="6">
        <f t="shared" si="0"/>
        <v>5561705.1934486004</v>
      </c>
      <c r="P23" s="6">
        <f t="shared" si="0"/>
        <v>5561705.1934486004</v>
      </c>
      <c r="Q23" s="6">
        <f t="shared" si="0"/>
        <v>5561705.1934486004</v>
      </c>
      <c r="R23" s="6">
        <f t="shared" si="0"/>
        <v>5561705.1934486004</v>
      </c>
      <c r="S23" s="6">
        <f t="shared" si="0"/>
        <v>5561705.1934486004</v>
      </c>
      <c r="T23" s="6">
        <f t="shared" si="0"/>
        <v>5561705.1934486004</v>
      </c>
      <c r="U23" s="6">
        <f t="shared" si="0"/>
        <v>5561705.1934486004</v>
      </c>
      <c r="V23" s="6">
        <f t="shared" si="0"/>
        <v>5561705.1934486004</v>
      </c>
      <c r="W23" s="9">
        <f>SUM(B23:V23)</f>
        <v>111234103.86897203</v>
      </c>
    </row>
    <row r="24" spans="1:23" s="4" customFormat="1" x14ac:dyDescent="0.25">
      <c r="A24" s="5" t="s">
        <v>29</v>
      </c>
      <c r="B24" s="6">
        <f>B13</f>
        <v>27167510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27167510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27167510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-27167510</v>
      </c>
      <c r="C29" s="32">
        <f>C23*0.8</f>
        <v>4449364.1547588808</v>
      </c>
      <c r="D29" s="32">
        <f t="shared" ref="D29:G29" si="3">D23*0.8</f>
        <v>4449364.1547588808</v>
      </c>
      <c r="E29" s="32">
        <f t="shared" si="3"/>
        <v>4449364.1547588808</v>
      </c>
      <c r="F29" s="32">
        <f t="shared" si="3"/>
        <v>4449364.1547588808</v>
      </c>
      <c r="G29" s="32">
        <f t="shared" si="3"/>
        <v>4449364.1547588808</v>
      </c>
      <c r="H29" s="32">
        <f>(H23*0.8*11/12)+(H23*0.5*1/12)</f>
        <v>4310321.5249226661</v>
      </c>
      <c r="I29" s="32">
        <f>I23*0.5</f>
        <v>2780852.5967243002</v>
      </c>
      <c r="J29" s="32">
        <f t="shared" ref="J29:V29" si="4">J23*0.5</f>
        <v>2780852.5967243002</v>
      </c>
      <c r="K29" s="32">
        <f t="shared" si="4"/>
        <v>2780852.5967243002</v>
      </c>
      <c r="L29" s="32">
        <f t="shared" si="4"/>
        <v>2780852.5967243002</v>
      </c>
      <c r="M29" s="32">
        <f t="shared" si="4"/>
        <v>2780852.5967243002</v>
      </c>
      <c r="N29" s="32">
        <f t="shared" si="4"/>
        <v>2780852.5967243002</v>
      </c>
      <c r="O29" s="32">
        <f t="shared" si="4"/>
        <v>2780852.5967243002</v>
      </c>
      <c r="P29" s="32">
        <f t="shared" si="4"/>
        <v>2780852.5967243002</v>
      </c>
      <c r="Q29" s="32">
        <f t="shared" si="4"/>
        <v>2780852.5967243002</v>
      </c>
      <c r="R29" s="32">
        <f t="shared" si="4"/>
        <v>2780852.5967243002</v>
      </c>
      <c r="S29" s="32">
        <f t="shared" si="4"/>
        <v>2780852.5967243002</v>
      </c>
      <c r="T29" s="32">
        <f t="shared" si="4"/>
        <v>2780852.5967243002</v>
      </c>
      <c r="U29" s="32">
        <f t="shared" si="4"/>
        <v>2780852.5967243002</v>
      </c>
      <c r="V29" s="32">
        <f t="shared" si="4"/>
        <v>2780852.5967243002</v>
      </c>
      <c r="W29" s="33">
        <f>SUM(B29:V29)</f>
        <v>38321568.652857281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271675.09999999998</v>
      </c>
      <c r="F30" s="42">
        <f>E30*1.05</f>
        <v>285258.85499999998</v>
      </c>
      <c r="G30" s="42">
        <f t="shared" ref="G30:V30" si="5">F30*1.05</f>
        <v>299521.79774999997</v>
      </c>
      <c r="H30" s="42">
        <f t="shared" si="5"/>
        <v>314497.88763749995</v>
      </c>
      <c r="I30" s="42">
        <f t="shared" si="5"/>
        <v>330222.78201937495</v>
      </c>
      <c r="J30" s="42">
        <f t="shared" si="5"/>
        <v>346733.92112034373</v>
      </c>
      <c r="K30" s="42">
        <f t="shared" si="5"/>
        <v>364070.61717636092</v>
      </c>
      <c r="L30" s="42">
        <f t="shared" si="5"/>
        <v>382274.14803517895</v>
      </c>
      <c r="M30" s="42">
        <f t="shared" si="5"/>
        <v>401387.85543693794</v>
      </c>
      <c r="N30" s="42">
        <f t="shared" si="5"/>
        <v>421457.24820878485</v>
      </c>
      <c r="O30" s="42">
        <f t="shared" si="5"/>
        <v>442530.11061922408</v>
      </c>
      <c r="P30" s="42">
        <f t="shared" si="5"/>
        <v>464656.61615018529</v>
      </c>
      <c r="Q30" s="42">
        <f t="shared" si="5"/>
        <v>487889.4469576946</v>
      </c>
      <c r="R30" s="42">
        <f t="shared" si="5"/>
        <v>512283.91930557933</v>
      </c>
      <c r="S30" s="42">
        <f t="shared" si="5"/>
        <v>537898.11527085828</v>
      </c>
      <c r="T30" s="42">
        <f t="shared" si="5"/>
        <v>564793.02103440126</v>
      </c>
      <c r="U30" s="42">
        <f t="shared" si="5"/>
        <v>593032.6720861214</v>
      </c>
      <c r="V30" s="42">
        <f t="shared" si="5"/>
        <v>622684.30569042754</v>
      </c>
      <c r="W30" s="9">
        <f>SUM(C30:V30)</f>
        <v>7642868.4194989735</v>
      </c>
    </row>
    <row r="31" spans="1:23" s="28" customFormat="1" x14ac:dyDescent="0.25">
      <c r="A31" s="28" t="s">
        <v>34</v>
      </c>
      <c r="B31" s="29"/>
      <c r="C31" s="29">
        <f>(C23-C28-C29)*0.2</f>
        <v>222468.20773794391</v>
      </c>
      <c r="D31" s="29">
        <f t="shared" ref="D31:V31" si="6">(D23-D28-D29)*0.2</f>
        <v>222468.20773794391</v>
      </c>
      <c r="E31" s="29">
        <f t="shared" si="6"/>
        <v>222468.20773794391</v>
      </c>
      <c r="F31" s="29">
        <f t="shared" si="6"/>
        <v>222468.20773794391</v>
      </c>
      <c r="G31" s="29">
        <f t="shared" si="6"/>
        <v>222468.20773794391</v>
      </c>
      <c r="H31" s="29">
        <f t="shared" si="6"/>
        <v>250276.73370518687</v>
      </c>
      <c r="I31" s="29">
        <f t="shared" si="6"/>
        <v>556170.51934486011</v>
      </c>
      <c r="J31" s="29">
        <f t="shared" si="6"/>
        <v>556170.51934486011</v>
      </c>
      <c r="K31" s="29">
        <f t="shared" si="6"/>
        <v>556170.51934486011</v>
      </c>
      <c r="L31" s="29">
        <f t="shared" si="6"/>
        <v>556170.51934486011</v>
      </c>
      <c r="M31" s="29">
        <f t="shared" si="6"/>
        <v>556170.51934486011</v>
      </c>
      <c r="N31" s="29">
        <f t="shared" si="6"/>
        <v>556170.51934486011</v>
      </c>
      <c r="O31" s="29">
        <f t="shared" si="6"/>
        <v>556170.51934486011</v>
      </c>
      <c r="P31" s="29">
        <f t="shared" si="6"/>
        <v>556170.51934486011</v>
      </c>
      <c r="Q31" s="29">
        <f t="shared" si="6"/>
        <v>556170.51934486011</v>
      </c>
      <c r="R31" s="29">
        <f t="shared" si="6"/>
        <v>556170.51934486011</v>
      </c>
      <c r="S31" s="29">
        <f t="shared" si="6"/>
        <v>556170.51934486011</v>
      </c>
      <c r="T31" s="29">
        <f t="shared" si="6"/>
        <v>556170.51934486011</v>
      </c>
      <c r="U31" s="29">
        <f t="shared" si="6"/>
        <v>556170.51934486011</v>
      </c>
      <c r="V31" s="29">
        <f t="shared" si="6"/>
        <v>556170.51934486011</v>
      </c>
      <c r="W31" s="9">
        <f>SUM(C31:V31)</f>
        <v>9149005.043222947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889872.83095177566</v>
      </c>
      <c r="D32" s="26">
        <f t="shared" ref="D32:E32" si="7">D23-D28-D29-D30-D31</f>
        <v>889872.83095177566</v>
      </c>
      <c r="E32" s="26">
        <f t="shared" si="7"/>
        <v>618197.73095177556</v>
      </c>
      <c r="F32" s="26">
        <f>F23-F28-F29-F30-F31</f>
        <v>604613.97595177568</v>
      </c>
      <c r="G32" s="26">
        <f t="shared" ref="G32:O32" si="8">G23-G28-G29-G30-G31</f>
        <v>590351.03320177575</v>
      </c>
      <c r="H32" s="26">
        <f t="shared" si="8"/>
        <v>686609.0471832474</v>
      </c>
      <c r="I32" s="26">
        <f t="shared" si="8"/>
        <v>1894459.2953600651</v>
      </c>
      <c r="J32" s="26">
        <f t="shared" si="8"/>
        <v>1877948.1562590962</v>
      </c>
      <c r="K32" s="26">
        <f t="shared" si="8"/>
        <v>1860611.460203079</v>
      </c>
      <c r="L32" s="26">
        <f t="shared" si="8"/>
        <v>1842407.9293442611</v>
      </c>
      <c r="M32" s="26">
        <f t="shared" si="8"/>
        <v>1823294.2219425021</v>
      </c>
      <c r="N32" s="26">
        <f t="shared" si="8"/>
        <v>1803224.829170655</v>
      </c>
      <c r="O32" s="26">
        <f t="shared" si="8"/>
        <v>1782151.9667602158</v>
      </c>
      <c r="P32" s="26">
        <f>P23-P28-P29-P30-P31</f>
        <v>1760025.4612292545</v>
      </c>
      <c r="Q32" s="26">
        <f t="shared" ref="Q32:V32" si="9">Q23-Q28-Q29-Q30-Q31</f>
        <v>1736792.6304217451</v>
      </c>
      <c r="R32" s="26">
        <f t="shared" si="9"/>
        <v>1712398.1580738607</v>
      </c>
      <c r="S32" s="26">
        <f t="shared" si="9"/>
        <v>1686783.9621085818</v>
      </c>
      <c r="T32" s="26">
        <f t="shared" si="9"/>
        <v>1659889.0563450386</v>
      </c>
      <c r="U32" s="26">
        <f t="shared" si="9"/>
        <v>1631649.4052933184</v>
      </c>
      <c r="V32" s="26">
        <f t="shared" si="9"/>
        <v>1601997.7716890122</v>
      </c>
      <c r="W32" s="9">
        <f>SUM(C32:V32)</f>
        <v>28953151.753392812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34"/>
  <sheetViews>
    <sheetView topLeftCell="B25" zoomScale="99" zoomScaleNormal="99" workbookViewId="0">
      <selection activeCell="D31" sqref="D31:V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149.04*5</f>
        <v>745.19999999999993</v>
      </c>
      <c r="C4" s="1" t="s">
        <v>79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78</v>
      </c>
      <c r="B13" s="3">
        <v>3087232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829082.35850327997</v>
      </c>
      <c r="D23" s="6">
        <f t="shared" ref="D23:V23" si="0">((($B$4*$B$7*$F$7)-((($B$4*$B$7*$F$7)*10%))+((($B$4*$B$9)*$F$9)+((($B$4*$B$7)*$F$9)*10%))))</f>
        <v>829082.35850327997</v>
      </c>
      <c r="E23" s="6">
        <f t="shared" si="0"/>
        <v>829082.35850327997</v>
      </c>
      <c r="F23" s="6">
        <f t="shared" si="0"/>
        <v>829082.35850327997</v>
      </c>
      <c r="G23" s="6">
        <f t="shared" si="0"/>
        <v>829082.35850327997</v>
      </c>
      <c r="H23" s="6">
        <f t="shared" si="0"/>
        <v>829082.35850327997</v>
      </c>
      <c r="I23" s="6">
        <f t="shared" si="0"/>
        <v>829082.35850327997</v>
      </c>
      <c r="J23" s="6">
        <f t="shared" si="0"/>
        <v>829082.35850327997</v>
      </c>
      <c r="K23" s="6">
        <f t="shared" si="0"/>
        <v>829082.35850327997</v>
      </c>
      <c r="L23" s="6">
        <f t="shared" si="0"/>
        <v>829082.35850327997</v>
      </c>
      <c r="M23" s="6">
        <f t="shared" si="0"/>
        <v>829082.35850327997</v>
      </c>
      <c r="N23" s="6">
        <f t="shared" si="0"/>
        <v>829082.35850327997</v>
      </c>
      <c r="O23" s="6">
        <f t="shared" si="0"/>
        <v>829082.35850327997</v>
      </c>
      <c r="P23" s="6">
        <f t="shared" si="0"/>
        <v>829082.35850327997</v>
      </c>
      <c r="Q23" s="6">
        <f t="shared" si="0"/>
        <v>829082.35850327997</v>
      </c>
      <c r="R23" s="6">
        <f t="shared" si="0"/>
        <v>829082.35850327997</v>
      </c>
      <c r="S23" s="6">
        <f t="shared" si="0"/>
        <v>829082.35850327997</v>
      </c>
      <c r="T23" s="6">
        <f t="shared" si="0"/>
        <v>829082.35850327997</v>
      </c>
      <c r="U23" s="6">
        <f t="shared" si="0"/>
        <v>829082.35850327997</v>
      </c>
      <c r="V23" s="6">
        <f t="shared" si="0"/>
        <v>829082.35850327997</v>
      </c>
      <c r="W23" s="9">
        <f>SUM(B23:V23)</f>
        <v>16581647.170065602</v>
      </c>
    </row>
    <row r="24" spans="1:23" s="4" customFormat="1" x14ac:dyDescent="0.25">
      <c r="A24" s="5" t="s">
        <v>29</v>
      </c>
      <c r="B24" s="6">
        <f>B13</f>
        <v>3087232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3087232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3087232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-3087232</v>
      </c>
      <c r="C29" s="32">
        <f>C23*0.8</f>
        <v>663265.88680262398</v>
      </c>
      <c r="D29" s="32">
        <f t="shared" ref="D29:G29" si="3">D23*0.8</f>
        <v>663265.88680262398</v>
      </c>
      <c r="E29" s="32">
        <f t="shared" si="3"/>
        <v>663265.88680262398</v>
      </c>
      <c r="F29" s="32">
        <f t="shared" si="3"/>
        <v>663265.88680262398</v>
      </c>
      <c r="G29" s="32">
        <f t="shared" si="3"/>
        <v>663265.88680262398</v>
      </c>
      <c r="H29" s="32">
        <f>(H23*0.8*11/12)+(H23*0.5*1/12)</f>
        <v>642538.82784004207</v>
      </c>
      <c r="I29" s="32">
        <f>I23*0.5</f>
        <v>414541.17925163999</v>
      </c>
      <c r="J29" s="32">
        <f t="shared" ref="J29:V29" si="4">J23*0.5</f>
        <v>414541.17925163999</v>
      </c>
      <c r="K29" s="32">
        <f t="shared" si="4"/>
        <v>414541.17925163999</v>
      </c>
      <c r="L29" s="32">
        <f t="shared" si="4"/>
        <v>414541.17925163999</v>
      </c>
      <c r="M29" s="32">
        <f t="shared" si="4"/>
        <v>414541.17925163999</v>
      </c>
      <c r="N29" s="32">
        <f t="shared" si="4"/>
        <v>414541.17925163999</v>
      </c>
      <c r="O29" s="32">
        <f t="shared" si="4"/>
        <v>414541.17925163999</v>
      </c>
      <c r="P29" s="32">
        <f t="shared" si="4"/>
        <v>414541.17925163999</v>
      </c>
      <c r="Q29" s="32">
        <f t="shared" si="4"/>
        <v>414541.17925163999</v>
      </c>
      <c r="R29" s="32">
        <f t="shared" si="4"/>
        <v>414541.17925163999</v>
      </c>
      <c r="S29" s="32">
        <f t="shared" si="4"/>
        <v>414541.17925163999</v>
      </c>
      <c r="T29" s="32">
        <f t="shared" si="4"/>
        <v>414541.17925163999</v>
      </c>
      <c r="U29" s="32">
        <f t="shared" si="4"/>
        <v>414541.17925163999</v>
      </c>
      <c r="V29" s="32">
        <f t="shared" si="4"/>
        <v>414541.17925163999</v>
      </c>
      <c r="W29" s="33">
        <f>SUM(B29:V29)</f>
        <v>6675212.7713761227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30872.32</v>
      </c>
      <c r="F30" s="42">
        <f>E30*1.05</f>
        <v>32415.936000000002</v>
      </c>
      <c r="G30" s="42">
        <f t="shared" ref="G30:V30" si="5">F30*1.05</f>
        <v>34036.732800000005</v>
      </c>
      <c r="H30" s="42">
        <f t="shared" si="5"/>
        <v>35738.569440000007</v>
      </c>
      <c r="I30" s="42">
        <f t="shared" si="5"/>
        <v>37525.497912000006</v>
      </c>
      <c r="J30" s="42">
        <f t="shared" si="5"/>
        <v>39401.772807600006</v>
      </c>
      <c r="K30" s="42">
        <f t="shared" si="5"/>
        <v>41371.861447980009</v>
      </c>
      <c r="L30" s="42">
        <f t="shared" si="5"/>
        <v>43440.454520379011</v>
      </c>
      <c r="M30" s="42">
        <f t="shared" si="5"/>
        <v>45612.477246397961</v>
      </c>
      <c r="N30" s="42">
        <f t="shared" si="5"/>
        <v>47893.101108717863</v>
      </c>
      <c r="O30" s="42">
        <f t="shared" si="5"/>
        <v>50287.756164153761</v>
      </c>
      <c r="P30" s="42">
        <f t="shared" si="5"/>
        <v>52802.143972361453</v>
      </c>
      <c r="Q30" s="42">
        <f t="shared" si="5"/>
        <v>55442.251170979529</v>
      </c>
      <c r="R30" s="42">
        <f t="shared" si="5"/>
        <v>58214.363729528508</v>
      </c>
      <c r="S30" s="42">
        <f t="shared" si="5"/>
        <v>61125.081916004936</v>
      </c>
      <c r="T30" s="42">
        <f t="shared" si="5"/>
        <v>64181.336011805186</v>
      </c>
      <c r="U30" s="42">
        <f t="shared" si="5"/>
        <v>67390.402812395449</v>
      </c>
      <c r="V30" s="42">
        <f t="shared" si="5"/>
        <v>70759.922953015222</v>
      </c>
      <c r="W30" s="9">
        <f>SUM(C30:V30)</f>
        <v>868511.98201331892</v>
      </c>
    </row>
    <row r="31" spans="1:23" s="28" customFormat="1" x14ac:dyDescent="0.25">
      <c r="A31" s="28" t="s">
        <v>34</v>
      </c>
      <c r="B31" s="29"/>
      <c r="C31" s="29">
        <f>(C23-C28-C29)*0.2</f>
        <v>33163.2943401312</v>
      </c>
      <c r="D31" s="29">
        <f t="shared" ref="D31:V31" si="6">(D23-D28-D29)*0.2</f>
        <v>33163.2943401312</v>
      </c>
      <c r="E31" s="29">
        <f t="shared" si="6"/>
        <v>33163.2943401312</v>
      </c>
      <c r="F31" s="29">
        <f t="shared" si="6"/>
        <v>33163.2943401312</v>
      </c>
      <c r="G31" s="29">
        <f t="shared" si="6"/>
        <v>33163.2943401312</v>
      </c>
      <c r="H31" s="29">
        <f t="shared" si="6"/>
        <v>37308.706132647581</v>
      </c>
      <c r="I31" s="29">
        <f t="shared" si="6"/>
        <v>82908.235850327997</v>
      </c>
      <c r="J31" s="29">
        <f t="shared" si="6"/>
        <v>82908.235850327997</v>
      </c>
      <c r="K31" s="29">
        <f t="shared" si="6"/>
        <v>82908.235850327997</v>
      </c>
      <c r="L31" s="29">
        <f t="shared" si="6"/>
        <v>82908.235850327997</v>
      </c>
      <c r="M31" s="29">
        <f t="shared" si="6"/>
        <v>82908.235850327997</v>
      </c>
      <c r="N31" s="29">
        <f t="shared" si="6"/>
        <v>82908.235850327997</v>
      </c>
      <c r="O31" s="29">
        <f t="shared" si="6"/>
        <v>82908.235850327997</v>
      </c>
      <c r="P31" s="29">
        <f t="shared" si="6"/>
        <v>82908.235850327997</v>
      </c>
      <c r="Q31" s="29">
        <f t="shared" si="6"/>
        <v>82908.235850327997</v>
      </c>
      <c r="R31" s="29">
        <f t="shared" si="6"/>
        <v>82908.235850327997</v>
      </c>
      <c r="S31" s="29">
        <f t="shared" si="6"/>
        <v>82908.235850327997</v>
      </c>
      <c r="T31" s="29">
        <f t="shared" si="6"/>
        <v>82908.235850327997</v>
      </c>
      <c r="U31" s="29">
        <f t="shared" si="6"/>
        <v>82908.235850327997</v>
      </c>
      <c r="V31" s="29">
        <f t="shared" si="6"/>
        <v>82908.235850327997</v>
      </c>
      <c r="W31" s="9">
        <f>SUM(C31:V31)</f>
        <v>1363840.479737896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132653.1773605248</v>
      </c>
      <c r="D32" s="26">
        <f t="shared" ref="D32:E32" si="7">D23-D28-D29-D30-D31</f>
        <v>132653.1773605248</v>
      </c>
      <c r="E32" s="26">
        <f t="shared" si="7"/>
        <v>101780.85736052479</v>
      </c>
      <c r="F32" s="26">
        <f>F23-F28-F29-F30-F31</f>
        <v>100237.24136052481</v>
      </c>
      <c r="G32" s="26">
        <f t="shared" ref="G32:O32" si="8">G23-G28-G29-G30-G31</f>
        <v>98616.444560524804</v>
      </c>
      <c r="H32" s="26">
        <f t="shared" si="8"/>
        <v>113496.25509059033</v>
      </c>
      <c r="I32" s="26">
        <f t="shared" si="8"/>
        <v>294107.445489312</v>
      </c>
      <c r="J32" s="26">
        <f t="shared" si="8"/>
        <v>292231.17059371201</v>
      </c>
      <c r="K32" s="26">
        <f t="shared" si="8"/>
        <v>290261.081953332</v>
      </c>
      <c r="L32" s="26">
        <f t="shared" si="8"/>
        <v>288192.48888093297</v>
      </c>
      <c r="M32" s="26">
        <f t="shared" si="8"/>
        <v>286020.466154914</v>
      </c>
      <c r="N32" s="26">
        <f t="shared" si="8"/>
        <v>283739.84229259414</v>
      </c>
      <c r="O32" s="26">
        <f t="shared" si="8"/>
        <v>281345.18723715824</v>
      </c>
      <c r="P32" s="26">
        <f>P23-P28-P29-P30-P31</f>
        <v>278830.79942895053</v>
      </c>
      <c r="Q32" s="26">
        <f t="shared" ref="Q32:V32" si="9">Q23-Q28-Q29-Q30-Q31</f>
        <v>276190.69223033247</v>
      </c>
      <c r="R32" s="26">
        <f t="shared" si="9"/>
        <v>273418.57967178349</v>
      </c>
      <c r="S32" s="26">
        <f t="shared" si="9"/>
        <v>270507.86148530705</v>
      </c>
      <c r="T32" s="26">
        <f t="shared" si="9"/>
        <v>267451.60738950683</v>
      </c>
      <c r="U32" s="26">
        <f t="shared" si="9"/>
        <v>264242.54058891651</v>
      </c>
      <c r="V32" s="26">
        <f t="shared" si="9"/>
        <v>260873.0204482968</v>
      </c>
      <c r="W32" s="9">
        <f>SUM(C32:V32)</f>
        <v>4586849.9369382635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34"/>
  <sheetViews>
    <sheetView topLeftCell="A22" zoomScale="99" zoomScaleNormal="99" workbookViewId="0">
      <selection activeCell="A31" sqref="A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536.06*5</f>
        <v>2680.2999999999997</v>
      </c>
      <c r="C4" s="1" t="s">
        <v>80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78</v>
      </c>
      <c r="B13" s="3">
        <v>14259678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2982004.0868174196</v>
      </c>
      <c r="D23" s="6">
        <f t="shared" ref="D23:V23" si="0">((($B$4*$B$7*$F$7)-((($B$4*$B$7*$F$7)*10%))+((($B$4*$B$9)*$F$9)+((($B$4*$B$7)*$F$9)*10%))))</f>
        <v>2982004.0868174196</v>
      </c>
      <c r="E23" s="6">
        <f t="shared" si="0"/>
        <v>2982004.0868174196</v>
      </c>
      <c r="F23" s="6">
        <f t="shared" si="0"/>
        <v>2982004.0868174196</v>
      </c>
      <c r="G23" s="6">
        <f t="shared" si="0"/>
        <v>2982004.0868174196</v>
      </c>
      <c r="H23" s="6">
        <f t="shared" si="0"/>
        <v>2982004.0868174196</v>
      </c>
      <c r="I23" s="6">
        <f t="shared" si="0"/>
        <v>2982004.0868174196</v>
      </c>
      <c r="J23" s="6">
        <f t="shared" si="0"/>
        <v>2982004.0868174196</v>
      </c>
      <c r="K23" s="6">
        <f t="shared" si="0"/>
        <v>2982004.0868174196</v>
      </c>
      <c r="L23" s="6">
        <f t="shared" si="0"/>
        <v>2982004.0868174196</v>
      </c>
      <c r="M23" s="6">
        <f t="shared" si="0"/>
        <v>2982004.0868174196</v>
      </c>
      <c r="N23" s="6">
        <f t="shared" si="0"/>
        <v>2982004.0868174196</v>
      </c>
      <c r="O23" s="6">
        <f t="shared" si="0"/>
        <v>2982004.0868174196</v>
      </c>
      <c r="P23" s="6">
        <f t="shared" si="0"/>
        <v>2982004.0868174196</v>
      </c>
      <c r="Q23" s="6">
        <f t="shared" si="0"/>
        <v>2982004.0868174196</v>
      </c>
      <c r="R23" s="6">
        <f t="shared" si="0"/>
        <v>2982004.0868174196</v>
      </c>
      <c r="S23" s="6">
        <f t="shared" si="0"/>
        <v>2982004.0868174196</v>
      </c>
      <c r="T23" s="6">
        <f t="shared" si="0"/>
        <v>2982004.0868174196</v>
      </c>
      <c r="U23" s="6">
        <f t="shared" si="0"/>
        <v>2982004.0868174196</v>
      </c>
      <c r="V23" s="6">
        <f t="shared" si="0"/>
        <v>2982004.0868174196</v>
      </c>
      <c r="W23" s="9">
        <f>SUM(B23:V23)</f>
        <v>59640081.736348413</v>
      </c>
    </row>
    <row r="24" spans="1:23" s="4" customFormat="1" x14ac:dyDescent="0.25">
      <c r="A24" s="5" t="s">
        <v>29</v>
      </c>
      <c r="B24" s="6">
        <f>B13</f>
        <v>14259678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14259678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14259678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-14259678</v>
      </c>
      <c r="C29" s="32">
        <f>C23*0.8</f>
        <v>2385603.2694539358</v>
      </c>
      <c r="D29" s="32">
        <f t="shared" ref="D29:G29" si="3">D23*0.8</f>
        <v>2385603.2694539358</v>
      </c>
      <c r="E29" s="32">
        <f t="shared" si="3"/>
        <v>2385603.2694539358</v>
      </c>
      <c r="F29" s="32">
        <f t="shared" si="3"/>
        <v>2385603.2694539358</v>
      </c>
      <c r="G29" s="32">
        <f t="shared" si="3"/>
        <v>2385603.2694539358</v>
      </c>
      <c r="H29" s="32">
        <f>(H23*0.8*11/12)+(H23*0.5*1/12)</f>
        <v>2311053.1672835005</v>
      </c>
      <c r="I29" s="32">
        <f>I23*0.5</f>
        <v>1491002.0434087098</v>
      </c>
      <c r="J29" s="32">
        <f t="shared" ref="J29:V29" si="4">J23*0.5</f>
        <v>1491002.0434087098</v>
      </c>
      <c r="K29" s="32">
        <f t="shared" si="4"/>
        <v>1491002.0434087098</v>
      </c>
      <c r="L29" s="32">
        <f t="shared" si="4"/>
        <v>1491002.0434087098</v>
      </c>
      <c r="M29" s="32">
        <f t="shared" si="4"/>
        <v>1491002.0434087098</v>
      </c>
      <c r="N29" s="32">
        <f t="shared" si="4"/>
        <v>1491002.0434087098</v>
      </c>
      <c r="O29" s="32">
        <f t="shared" si="4"/>
        <v>1491002.0434087098</v>
      </c>
      <c r="P29" s="32">
        <f t="shared" si="4"/>
        <v>1491002.0434087098</v>
      </c>
      <c r="Q29" s="32">
        <f t="shared" si="4"/>
        <v>1491002.0434087098</v>
      </c>
      <c r="R29" s="32">
        <f t="shared" si="4"/>
        <v>1491002.0434087098</v>
      </c>
      <c r="S29" s="32">
        <f t="shared" si="4"/>
        <v>1491002.0434087098</v>
      </c>
      <c r="T29" s="32">
        <f t="shared" si="4"/>
        <v>1491002.0434087098</v>
      </c>
      <c r="U29" s="32">
        <f t="shared" si="4"/>
        <v>1491002.0434087098</v>
      </c>
      <c r="V29" s="32">
        <f t="shared" si="4"/>
        <v>1491002.0434087098</v>
      </c>
      <c r="W29" s="33">
        <f>SUM(B29:V29)</f>
        <v>20853420.122275118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142596.78</v>
      </c>
      <c r="F30" s="42">
        <f>E30*1.05</f>
        <v>149726.61900000001</v>
      </c>
      <c r="G30" s="42">
        <f t="shared" ref="G30:V30" si="5">F30*1.05</f>
        <v>157212.94995000001</v>
      </c>
      <c r="H30" s="42">
        <f t="shared" si="5"/>
        <v>165073.59744750001</v>
      </c>
      <c r="I30" s="42">
        <f t="shared" si="5"/>
        <v>173327.27731987502</v>
      </c>
      <c r="J30" s="42">
        <f t="shared" si="5"/>
        <v>181993.64118586879</v>
      </c>
      <c r="K30" s="42">
        <f t="shared" si="5"/>
        <v>191093.32324516223</v>
      </c>
      <c r="L30" s="42">
        <f t="shared" si="5"/>
        <v>200647.98940742036</v>
      </c>
      <c r="M30" s="42">
        <f t="shared" si="5"/>
        <v>210680.38887779138</v>
      </c>
      <c r="N30" s="42">
        <f t="shared" si="5"/>
        <v>221214.40832168097</v>
      </c>
      <c r="O30" s="42">
        <f t="shared" si="5"/>
        <v>232275.12873776502</v>
      </c>
      <c r="P30" s="42">
        <f t="shared" si="5"/>
        <v>243888.88517465329</v>
      </c>
      <c r="Q30" s="42">
        <f t="shared" si="5"/>
        <v>256083.32943338595</v>
      </c>
      <c r="R30" s="42">
        <f t="shared" si="5"/>
        <v>268887.49590505526</v>
      </c>
      <c r="S30" s="42">
        <f t="shared" si="5"/>
        <v>282331.87070030801</v>
      </c>
      <c r="T30" s="42">
        <f t="shared" si="5"/>
        <v>296448.46423532342</v>
      </c>
      <c r="U30" s="42">
        <f t="shared" si="5"/>
        <v>311270.8874470896</v>
      </c>
      <c r="V30" s="42">
        <f t="shared" si="5"/>
        <v>326834.43181944411</v>
      </c>
      <c r="W30" s="9">
        <f>SUM(C30:V30)</f>
        <v>4011587.4682083232</v>
      </c>
    </row>
    <row r="31" spans="1:23" s="28" customFormat="1" x14ac:dyDescent="0.25">
      <c r="A31" s="28" t="s">
        <v>34</v>
      </c>
      <c r="B31" s="29"/>
      <c r="C31" s="29">
        <f>(C23-C28-C29)*0.2</f>
        <v>119280.16347269677</v>
      </c>
      <c r="D31" s="29">
        <f t="shared" ref="D31:V31" si="6">(D23-D28-D29)*0.2</f>
        <v>119280.16347269677</v>
      </c>
      <c r="E31" s="29">
        <f t="shared" si="6"/>
        <v>119280.16347269677</v>
      </c>
      <c r="F31" s="29">
        <f t="shared" si="6"/>
        <v>119280.16347269677</v>
      </c>
      <c r="G31" s="29">
        <f t="shared" si="6"/>
        <v>119280.16347269677</v>
      </c>
      <c r="H31" s="29">
        <f t="shared" si="6"/>
        <v>134190.18390678382</v>
      </c>
      <c r="I31" s="29">
        <f t="shared" si="6"/>
        <v>298200.40868174197</v>
      </c>
      <c r="J31" s="29">
        <f t="shared" si="6"/>
        <v>298200.40868174197</v>
      </c>
      <c r="K31" s="29">
        <f t="shared" si="6"/>
        <v>298200.40868174197</v>
      </c>
      <c r="L31" s="29">
        <f t="shared" si="6"/>
        <v>298200.40868174197</v>
      </c>
      <c r="M31" s="29">
        <f t="shared" si="6"/>
        <v>298200.40868174197</v>
      </c>
      <c r="N31" s="29">
        <f t="shared" si="6"/>
        <v>298200.40868174197</v>
      </c>
      <c r="O31" s="29">
        <f t="shared" si="6"/>
        <v>298200.40868174197</v>
      </c>
      <c r="P31" s="29">
        <f t="shared" si="6"/>
        <v>298200.40868174197</v>
      </c>
      <c r="Q31" s="29">
        <f t="shared" si="6"/>
        <v>298200.40868174197</v>
      </c>
      <c r="R31" s="29">
        <f t="shared" si="6"/>
        <v>298200.40868174197</v>
      </c>
      <c r="S31" s="29">
        <f t="shared" si="6"/>
        <v>298200.40868174197</v>
      </c>
      <c r="T31" s="29">
        <f t="shared" si="6"/>
        <v>298200.40868174197</v>
      </c>
      <c r="U31" s="29">
        <f t="shared" si="6"/>
        <v>298200.40868174197</v>
      </c>
      <c r="V31" s="29">
        <f t="shared" si="6"/>
        <v>298200.40868174197</v>
      </c>
      <c r="W31" s="9">
        <f>SUM(C31:V31)</f>
        <v>4905396.7228146549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477120.65389078704</v>
      </c>
      <c r="D32" s="26">
        <f t="shared" ref="D32:E32" si="7">D23-D28-D29-D30-D31</f>
        <v>477120.65389078704</v>
      </c>
      <c r="E32" s="26">
        <f t="shared" si="7"/>
        <v>334523.87389078701</v>
      </c>
      <c r="F32" s="26">
        <f>F23-F28-F29-F30-F31</f>
        <v>327394.03489078704</v>
      </c>
      <c r="G32" s="26">
        <f t="shared" ref="G32:O32" si="8">G23-G28-G29-G30-G31</f>
        <v>319907.703940787</v>
      </c>
      <c r="H32" s="26">
        <f t="shared" si="8"/>
        <v>371687.13817963528</v>
      </c>
      <c r="I32" s="26">
        <f t="shared" si="8"/>
        <v>1019474.3574070928</v>
      </c>
      <c r="J32" s="26">
        <f t="shared" si="8"/>
        <v>1010807.9935410991</v>
      </c>
      <c r="K32" s="26">
        <f t="shared" si="8"/>
        <v>1001708.3114818058</v>
      </c>
      <c r="L32" s="26">
        <f t="shared" si="8"/>
        <v>992153.6453195475</v>
      </c>
      <c r="M32" s="26">
        <f t="shared" si="8"/>
        <v>982121.24584917654</v>
      </c>
      <c r="N32" s="26">
        <f t="shared" si="8"/>
        <v>971587.22640528693</v>
      </c>
      <c r="O32" s="26">
        <f t="shared" si="8"/>
        <v>960526.50598920276</v>
      </c>
      <c r="P32" s="26">
        <f>P23-P28-P29-P30-P31</f>
        <v>948912.74955231464</v>
      </c>
      <c r="Q32" s="26">
        <f t="shared" ref="Q32:V32" si="9">Q23-Q28-Q29-Q30-Q31</f>
        <v>936718.30529358191</v>
      </c>
      <c r="R32" s="26">
        <f t="shared" si="9"/>
        <v>923914.1388219127</v>
      </c>
      <c r="S32" s="26">
        <f t="shared" si="9"/>
        <v>910469.76402666001</v>
      </c>
      <c r="T32" s="26">
        <f t="shared" si="9"/>
        <v>896353.17049164441</v>
      </c>
      <c r="U32" s="26">
        <f t="shared" si="9"/>
        <v>881530.74727987824</v>
      </c>
      <c r="V32" s="26">
        <f t="shared" si="9"/>
        <v>865967.20290752384</v>
      </c>
      <c r="W32" s="9">
        <f>SUM(C32:V32)</f>
        <v>15609999.423050299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5"/>
  <sheetViews>
    <sheetView topLeftCell="P25" zoomScale="99" zoomScaleNormal="99" workbookViewId="0">
      <selection activeCell="V33" sqref="U33:V33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604.44*5</f>
        <v>3022.2000000000003</v>
      </c>
      <c r="C4" s="1" t="s">
        <v>63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65</v>
      </c>
      <c r="B13" s="3">
        <v>20358669.5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3362389.5650410806</v>
      </c>
      <c r="D23" s="6">
        <f t="shared" ref="D23:V23" si="0">((($B$4*$B$7*$F$7)-((($B$4*$B$7*$F$7)*10%))+((($B$4*$B$9)*$F$9)+((($B$4*$B$7)*$F$9)*10%))))</f>
        <v>3362389.5650410806</v>
      </c>
      <c r="E23" s="6">
        <f t="shared" si="0"/>
        <v>3362389.5650410806</v>
      </c>
      <c r="F23" s="6">
        <f t="shared" si="0"/>
        <v>3362389.5650410806</v>
      </c>
      <c r="G23" s="6">
        <f t="shared" si="0"/>
        <v>3362389.5650410806</v>
      </c>
      <c r="H23" s="6">
        <f t="shared" si="0"/>
        <v>3362389.5650410806</v>
      </c>
      <c r="I23" s="6">
        <f t="shared" si="0"/>
        <v>3362389.5650410806</v>
      </c>
      <c r="J23" s="6">
        <f t="shared" si="0"/>
        <v>3362389.5650410806</v>
      </c>
      <c r="K23" s="6">
        <f t="shared" si="0"/>
        <v>3362389.5650410806</v>
      </c>
      <c r="L23" s="6">
        <f t="shared" si="0"/>
        <v>3362389.5650410806</v>
      </c>
      <c r="M23" s="6">
        <f t="shared" si="0"/>
        <v>3362389.5650410806</v>
      </c>
      <c r="N23" s="6">
        <f t="shared" si="0"/>
        <v>3362389.5650410806</v>
      </c>
      <c r="O23" s="6">
        <f t="shared" si="0"/>
        <v>3362389.5650410806</v>
      </c>
      <c r="P23" s="6">
        <f t="shared" si="0"/>
        <v>3362389.5650410806</v>
      </c>
      <c r="Q23" s="6">
        <f t="shared" si="0"/>
        <v>3362389.5650410806</v>
      </c>
      <c r="R23" s="6">
        <f t="shared" si="0"/>
        <v>3362389.5650410806</v>
      </c>
      <c r="S23" s="6">
        <f t="shared" si="0"/>
        <v>3362389.5650410806</v>
      </c>
      <c r="T23" s="6">
        <f t="shared" si="0"/>
        <v>3362389.5650410806</v>
      </c>
      <c r="U23" s="6">
        <f t="shared" si="0"/>
        <v>3362389.5650410806</v>
      </c>
      <c r="V23" s="6">
        <f t="shared" si="0"/>
        <v>3362389.5650410806</v>
      </c>
      <c r="W23" s="9">
        <f>SUM(B23:V23)</f>
        <v>67247791.300821617</v>
      </c>
    </row>
    <row r="24" spans="1:23" s="4" customFormat="1" x14ac:dyDescent="0.25">
      <c r="A24" s="5" t="s">
        <v>29</v>
      </c>
      <c r="B24" s="6">
        <f>B13</f>
        <v>20358669.5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20358669.5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20358669.5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-20358669.5</v>
      </c>
      <c r="C29" s="32">
        <f>C23*0.8</f>
        <v>2689911.6520328647</v>
      </c>
      <c r="D29" s="32">
        <f t="shared" ref="D29:G29" si="3">D23*0.8</f>
        <v>2689911.6520328647</v>
      </c>
      <c r="E29" s="32">
        <f t="shared" si="3"/>
        <v>2689911.6520328647</v>
      </c>
      <c r="F29" s="32">
        <f t="shared" si="3"/>
        <v>2689911.6520328647</v>
      </c>
      <c r="G29" s="32">
        <f t="shared" si="3"/>
        <v>2689911.6520328647</v>
      </c>
      <c r="H29" s="32">
        <f>(H23*0.8*11/12)+(H23*0.5*1/12)</f>
        <v>2605851.9129068376</v>
      </c>
      <c r="I29" s="32">
        <f>I23*0.5</f>
        <v>1681194.7825205403</v>
      </c>
      <c r="J29" s="32">
        <f t="shared" ref="J29:V29" si="4">J23*0.5</f>
        <v>1681194.7825205403</v>
      </c>
      <c r="K29" s="32">
        <f t="shared" si="4"/>
        <v>1681194.7825205403</v>
      </c>
      <c r="L29" s="32">
        <f t="shared" si="4"/>
        <v>1681194.7825205403</v>
      </c>
      <c r="M29" s="32">
        <f t="shared" si="4"/>
        <v>1681194.7825205403</v>
      </c>
      <c r="N29" s="32">
        <f t="shared" si="4"/>
        <v>1681194.7825205403</v>
      </c>
      <c r="O29" s="32">
        <f t="shared" si="4"/>
        <v>1681194.7825205403</v>
      </c>
      <c r="P29" s="32">
        <f t="shared" si="4"/>
        <v>1681194.7825205403</v>
      </c>
      <c r="Q29" s="32">
        <f t="shared" si="4"/>
        <v>1681194.7825205403</v>
      </c>
      <c r="R29" s="32">
        <f t="shared" si="4"/>
        <v>1681194.7825205403</v>
      </c>
      <c r="S29" s="32">
        <f t="shared" si="4"/>
        <v>1681194.7825205403</v>
      </c>
      <c r="T29" s="32">
        <f t="shared" si="4"/>
        <v>1681194.7825205403</v>
      </c>
      <c r="U29" s="32">
        <f t="shared" si="4"/>
        <v>1681194.7825205403</v>
      </c>
      <c r="V29" s="32">
        <f t="shared" si="4"/>
        <v>1681194.7825205403</v>
      </c>
      <c r="W29" s="33">
        <f>SUM(B29:V29)</f>
        <v>19233467.628358725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203586.69500000001</v>
      </c>
      <c r="F30" s="42">
        <f>E30*1.05</f>
        <v>213766.02975000002</v>
      </c>
      <c r="G30" s="42">
        <f t="shared" ref="G30:V30" si="5">F30*1.05</f>
        <v>224454.33123750004</v>
      </c>
      <c r="H30" s="42">
        <f t="shared" si="5"/>
        <v>235677.04779937505</v>
      </c>
      <c r="I30" s="42">
        <f t="shared" si="5"/>
        <v>247460.90018934381</v>
      </c>
      <c r="J30" s="42">
        <f t="shared" si="5"/>
        <v>259833.94519881101</v>
      </c>
      <c r="K30" s="42">
        <f t="shared" si="5"/>
        <v>272825.64245875156</v>
      </c>
      <c r="L30" s="42">
        <f t="shared" si="5"/>
        <v>286466.92458168918</v>
      </c>
      <c r="M30" s="42">
        <f t="shared" si="5"/>
        <v>300790.27081077365</v>
      </c>
      <c r="N30" s="42">
        <f t="shared" si="5"/>
        <v>315829.78435131232</v>
      </c>
      <c r="O30" s="42">
        <f t="shared" si="5"/>
        <v>331621.27356887795</v>
      </c>
      <c r="P30" s="42">
        <f t="shared" si="5"/>
        <v>348202.33724732185</v>
      </c>
      <c r="Q30" s="42">
        <f t="shared" si="5"/>
        <v>365612.45410968794</v>
      </c>
      <c r="R30" s="42">
        <f t="shared" si="5"/>
        <v>383893.07681517233</v>
      </c>
      <c r="S30" s="42">
        <f t="shared" si="5"/>
        <v>403087.73065593094</v>
      </c>
      <c r="T30" s="42">
        <f t="shared" si="5"/>
        <v>423242.11718872748</v>
      </c>
      <c r="U30" s="42">
        <f t="shared" si="5"/>
        <v>444404.22304816387</v>
      </c>
      <c r="V30" s="42">
        <f t="shared" si="5"/>
        <v>466624.43420057208</v>
      </c>
      <c r="W30" s="9">
        <f>SUM(C30:V30)</f>
        <v>5727379.2182120103</v>
      </c>
    </row>
    <row r="31" spans="1:23" s="28" customFormat="1" x14ac:dyDescent="0.25">
      <c r="A31" s="28" t="s">
        <v>34</v>
      </c>
      <c r="B31" s="29"/>
      <c r="C31" s="29">
        <f>(C23-C28-C29)*0.2</f>
        <v>134495.58260164317</v>
      </c>
      <c r="D31" s="29">
        <f t="shared" ref="D31:V31" si="6">(D23-D28-D29)*0.2</f>
        <v>134495.58260164317</v>
      </c>
      <c r="E31" s="29">
        <f t="shared" si="6"/>
        <v>134495.58260164317</v>
      </c>
      <c r="F31" s="29">
        <f t="shared" si="6"/>
        <v>134495.58260164317</v>
      </c>
      <c r="G31" s="29">
        <f t="shared" si="6"/>
        <v>134495.58260164317</v>
      </c>
      <c r="H31" s="29">
        <f t="shared" si="6"/>
        <v>151307.53042684859</v>
      </c>
      <c r="I31" s="29">
        <f t="shared" si="6"/>
        <v>336238.95650410809</v>
      </c>
      <c r="J31" s="29">
        <f t="shared" si="6"/>
        <v>336238.95650410809</v>
      </c>
      <c r="K31" s="29">
        <f t="shared" si="6"/>
        <v>336238.95650410809</v>
      </c>
      <c r="L31" s="29">
        <f t="shared" si="6"/>
        <v>336238.95650410809</v>
      </c>
      <c r="M31" s="29">
        <f t="shared" si="6"/>
        <v>336238.95650410809</v>
      </c>
      <c r="N31" s="29">
        <f t="shared" si="6"/>
        <v>336238.95650410809</v>
      </c>
      <c r="O31" s="29">
        <f t="shared" si="6"/>
        <v>336238.95650410809</v>
      </c>
      <c r="P31" s="29">
        <f t="shared" si="6"/>
        <v>336238.95650410809</v>
      </c>
      <c r="Q31" s="29">
        <f t="shared" si="6"/>
        <v>336238.95650410809</v>
      </c>
      <c r="R31" s="29">
        <f t="shared" si="6"/>
        <v>336238.95650410809</v>
      </c>
      <c r="S31" s="29">
        <f t="shared" si="6"/>
        <v>336238.95650410809</v>
      </c>
      <c r="T31" s="29">
        <f t="shared" si="6"/>
        <v>336238.95650410809</v>
      </c>
      <c r="U31" s="29">
        <f t="shared" si="6"/>
        <v>336238.95650410809</v>
      </c>
      <c r="V31" s="29">
        <f t="shared" si="6"/>
        <v>336238.95650410809</v>
      </c>
      <c r="W31" s="9">
        <f>SUM(C31:V31)</f>
        <v>5531130.8344925772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537982.33040657267</v>
      </c>
      <c r="D32" s="26">
        <f t="shared" ref="D32:E32" si="7">D23-D28-D29-D30-D31</f>
        <v>537982.33040657267</v>
      </c>
      <c r="E32" s="26">
        <f t="shared" si="7"/>
        <v>334395.63540657266</v>
      </c>
      <c r="F32" s="26">
        <f>F23-F28-F29-F30-F31</f>
        <v>324216.30065657268</v>
      </c>
      <c r="G32" s="26">
        <f t="shared" ref="G32:O32" si="8">G23-G28-G29-G30-G31</f>
        <v>313527.9991690726</v>
      </c>
      <c r="H32" s="26">
        <f t="shared" si="8"/>
        <v>369553.07390801935</v>
      </c>
      <c r="I32" s="26">
        <f t="shared" si="8"/>
        <v>1097494.9258270883</v>
      </c>
      <c r="J32" s="26">
        <f t="shared" si="8"/>
        <v>1085121.8808176212</v>
      </c>
      <c r="K32" s="26">
        <f t="shared" si="8"/>
        <v>1072130.1835576806</v>
      </c>
      <c r="L32" s="26">
        <f t="shared" si="8"/>
        <v>1058488.9014347431</v>
      </c>
      <c r="M32" s="26">
        <f t="shared" si="8"/>
        <v>1044165.5552056585</v>
      </c>
      <c r="N32" s="26">
        <f t="shared" si="8"/>
        <v>1029126.0416651198</v>
      </c>
      <c r="O32" s="26">
        <f t="shared" si="8"/>
        <v>1013334.5524475542</v>
      </c>
      <c r="P32" s="26">
        <f>P23-P28-P29-P30-P31</f>
        <v>996753.48876911029</v>
      </c>
      <c r="Q32" s="26">
        <f t="shared" ref="Q32:V32" si="9">Q23-Q28-Q29-Q30-Q31</f>
        <v>979343.37190674408</v>
      </c>
      <c r="R32" s="26">
        <f t="shared" si="9"/>
        <v>961062.74920125981</v>
      </c>
      <c r="S32" s="26">
        <f t="shared" si="9"/>
        <v>941868.0953605012</v>
      </c>
      <c r="T32" s="26">
        <f t="shared" si="9"/>
        <v>921713.70882770466</v>
      </c>
      <c r="U32" s="26">
        <f t="shared" si="9"/>
        <v>900551.60296826833</v>
      </c>
      <c r="V32" s="26">
        <f t="shared" si="9"/>
        <v>878331.39181586006</v>
      </c>
      <c r="W32" s="9">
        <f>SUM(C32:V32)</f>
        <v>16397144.119758297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2:22" s="21" customFormat="1" x14ac:dyDescent="0.25"/>
  </sheetData>
  <pageMargins left="0.25" right="0.25" top="0.75" bottom="0.75" header="0.3" footer="0.3"/>
  <pageSetup paperSize="9" scale="3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4"/>
  <sheetViews>
    <sheetView topLeftCell="P22" zoomScale="99" zoomScaleNormal="99" workbookViewId="0">
      <selection activeCell="C31" sqref="C31:V31"/>
    </sheetView>
  </sheetViews>
  <sheetFormatPr defaultRowHeight="15" x14ac:dyDescent="0.25"/>
  <cols>
    <col min="1" max="1" width="60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459.54*5</f>
        <v>2297.7000000000003</v>
      </c>
      <c r="C4" s="1" t="s">
        <v>58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61</v>
      </c>
      <c r="B13" s="3">
        <v>12814707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2556337.2720517805</v>
      </c>
      <c r="D23" s="6">
        <f t="shared" ref="D23:V23" si="0">((($B$4*$B$7*$F$7)-((($B$4*$B$7*$F$7)*10%))+((($B$4*$B$9)*$F$9)+((($B$4*$B$7)*$F$9)*10%))))</f>
        <v>2556337.2720517805</v>
      </c>
      <c r="E23" s="6">
        <f t="shared" si="0"/>
        <v>2556337.2720517805</v>
      </c>
      <c r="F23" s="6">
        <f t="shared" si="0"/>
        <v>2556337.2720517805</v>
      </c>
      <c r="G23" s="6">
        <f t="shared" si="0"/>
        <v>2556337.2720517805</v>
      </c>
      <c r="H23" s="6">
        <f t="shared" si="0"/>
        <v>2556337.2720517805</v>
      </c>
      <c r="I23" s="6">
        <f t="shared" si="0"/>
        <v>2556337.2720517805</v>
      </c>
      <c r="J23" s="6">
        <f t="shared" si="0"/>
        <v>2556337.2720517805</v>
      </c>
      <c r="K23" s="6">
        <f t="shared" si="0"/>
        <v>2556337.2720517805</v>
      </c>
      <c r="L23" s="6">
        <f t="shared" si="0"/>
        <v>2556337.2720517805</v>
      </c>
      <c r="M23" s="6">
        <f t="shared" si="0"/>
        <v>2556337.2720517805</v>
      </c>
      <c r="N23" s="6">
        <f t="shared" si="0"/>
        <v>2556337.2720517805</v>
      </c>
      <c r="O23" s="6">
        <f t="shared" si="0"/>
        <v>2556337.2720517805</v>
      </c>
      <c r="P23" s="6">
        <f t="shared" si="0"/>
        <v>2556337.2720517805</v>
      </c>
      <c r="Q23" s="6">
        <f t="shared" si="0"/>
        <v>2556337.2720517805</v>
      </c>
      <c r="R23" s="6">
        <f t="shared" si="0"/>
        <v>2556337.2720517805</v>
      </c>
      <c r="S23" s="6">
        <f t="shared" si="0"/>
        <v>2556337.2720517805</v>
      </c>
      <c r="T23" s="6">
        <f t="shared" si="0"/>
        <v>2556337.2720517805</v>
      </c>
      <c r="U23" s="6">
        <f t="shared" si="0"/>
        <v>2556337.2720517805</v>
      </c>
      <c r="V23" s="6">
        <f t="shared" si="0"/>
        <v>2556337.2720517805</v>
      </c>
      <c r="W23" s="9">
        <f>SUM(B23:V23)</f>
        <v>51126745.441035621</v>
      </c>
    </row>
    <row r="24" spans="1:23" s="4" customFormat="1" x14ac:dyDescent="0.25">
      <c r="A24" s="5" t="s">
        <v>29</v>
      </c>
      <c r="B24" s="6">
        <f>B13</f>
        <v>12814707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12814707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12814707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-12814707</v>
      </c>
      <c r="C29" s="32">
        <f>C23*0.8</f>
        <v>2045069.8176414245</v>
      </c>
      <c r="D29" s="32">
        <f t="shared" ref="D29:G29" si="3">D23*0.8</f>
        <v>2045069.8176414245</v>
      </c>
      <c r="E29" s="32">
        <f t="shared" si="3"/>
        <v>2045069.8176414245</v>
      </c>
      <c r="F29" s="32">
        <f t="shared" si="3"/>
        <v>2045069.8176414245</v>
      </c>
      <c r="G29" s="32">
        <f t="shared" si="3"/>
        <v>2045069.8176414245</v>
      </c>
      <c r="H29" s="32">
        <f>(H23*0.8*11/12)+(H23*0.5*1/12)</f>
        <v>1981161.38584013</v>
      </c>
      <c r="I29" s="32">
        <f>I23*0.5</f>
        <v>1278168.6360258902</v>
      </c>
      <c r="J29" s="32">
        <f t="shared" ref="J29:V29" si="4">J23*0.5</f>
        <v>1278168.6360258902</v>
      </c>
      <c r="K29" s="32">
        <f t="shared" si="4"/>
        <v>1278168.6360258902</v>
      </c>
      <c r="L29" s="32">
        <f t="shared" si="4"/>
        <v>1278168.6360258902</v>
      </c>
      <c r="M29" s="32">
        <f t="shared" si="4"/>
        <v>1278168.6360258902</v>
      </c>
      <c r="N29" s="32">
        <f t="shared" si="4"/>
        <v>1278168.6360258902</v>
      </c>
      <c r="O29" s="32">
        <f t="shared" si="4"/>
        <v>1278168.6360258902</v>
      </c>
      <c r="P29" s="32">
        <f t="shared" si="4"/>
        <v>1278168.6360258902</v>
      </c>
      <c r="Q29" s="32">
        <f t="shared" si="4"/>
        <v>1278168.6360258902</v>
      </c>
      <c r="R29" s="32">
        <f t="shared" si="4"/>
        <v>1278168.6360258902</v>
      </c>
      <c r="S29" s="32">
        <f t="shared" si="4"/>
        <v>1278168.6360258902</v>
      </c>
      <c r="T29" s="32">
        <f t="shared" si="4"/>
        <v>1278168.6360258902</v>
      </c>
      <c r="U29" s="32">
        <f t="shared" si="4"/>
        <v>1278168.6360258902</v>
      </c>
      <c r="V29" s="32">
        <f t="shared" si="4"/>
        <v>1278168.6360258902</v>
      </c>
      <c r="W29" s="33">
        <f>SUM(B29:V29)</f>
        <v>17286164.378409717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128147.07</v>
      </c>
      <c r="F30" s="42">
        <f>E30*1.05</f>
        <v>134554.4235</v>
      </c>
      <c r="G30" s="42">
        <f t="shared" ref="G30:V30" si="5">F30*1.05</f>
        <v>141282.14467500002</v>
      </c>
      <c r="H30" s="42">
        <f t="shared" si="5"/>
        <v>148346.25190875001</v>
      </c>
      <c r="I30" s="42">
        <f t="shared" si="5"/>
        <v>155763.56450418753</v>
      </c>
      <c r="J30" s="42">
        <f t="shared" si="5"/>
        <v>163551.74272939691</v>
      </c>
      <c r="K30" s="42">
        <f t="shared" si="5"/>
        <v>171729.32986586675</v>
      </c>
      <c r="L30" s="42">
        <f t="shared" si="5"/>
        <v>180315.7963591601</v>
      </c>
      <c r="M30" s="42">
        <f t="shared" si="5"/>
        <v>189331.58617711812</v>
      </c>
      <c r="N30" s="42">
        <f t="shared" si="5"/>
        <v>198798.16548597402</v>
      </c>
      <c r="O30" s="42">
        <f t="shared" si="5"/>
        <v>208738.07376027273</v>
      </c>
      <c r="P30" s="42">
        <f t="shared" si="5"/>
        <v>219174.97744828637</v>
      </c>
      <c r="Q30" s="42">
        <f t="shared" si="5"/>
        <v>230133.72632070069</v>
      </c>
      <c r="R30" s="42">
        <f t="shared" si="5"/>
        <v>241640.41263673574</v>
      </c>
      <c r="S30" s="42">
        <f t="shared" si="5"/>
        <v>253722.43326857252</v>
      </c>
      <c r="T30" s="42">
        <f t="shared" si="5"/>
        <v>266408.55493200116</v>
      </c>
      <c r="U30" s="42">
        <f t="shared" si="5"/>
        <v>279728.98267860123</v>
      </c>
      <c r="V30" s="42">
        <f t="shared" si="5"/>
        <v>293715.43181253131</v>
      </c>
      <c r="W30" s="9">
        <f>SUM(C30:V30)</f>
        <v>3605082.6680631549</v>
      </c>
    </row>
    <row r="31" spans="1:23" s="28" customFormat="1" x14ac:dyDescent="0.25">
      <c r="A31" s="28" t="s">
        <v>34</v>
      </c>
      <c r="B31" s="29"/>
      <c r="C31" s="29">
        <f>(C23-C28-C29)*0.2</f>
        <v>102253.4908820712</v>
      </c>
      <c r="D31" s="29">
        <f t="shared" ref="D31:V31" si="6">(D23-D28-D29)*0.2</f>
        <v>102253.4908820712</v>
      </c>
      <c r="E31" s="29">
        <f t="shared" si="6"/>
        <v>102253.4908820712</v>
      </c>
      <c r="F31" s="29">
        <f t="shared" si="6"/>
        <v>102253.4908820712</v>
      </c>
      <c r="G31" s="29">
        <f t="shared" si="6"/>
        <v>102253.4908820712</v>
      </c>
      <c r="H31" s="29">
        <f t="shared" si="6"/>
        <v>115035.1772423301</v>
      </c>
      <c r="I31" s="29">
        <f t="shared" si="6"/>
        <v>255633.72720517806</v>
      </c>
      <c r="J31" s="29">
        <f t="shared" si="6"/>
        <v>255633.72720517806</v>
      </c>
      <c r="K31" s="29">
        <f t="shared" si="6"/>
        <v>255633.72720517806</v>
      </c>
      <c r="L31" s="29">
        <f t="shared" si="6"/>
        <v>255633.72720517806</v>
      </c>
      <c r="M31" s="29">
        <f t="shared" si="6"/>
        <v>255633.72720517806</v>
      </c>
      <c r="N31" s="29">
        <f t="shared" si="6"/>
        <v>255633.72720517806</v>
      </c>
      <c r="O31" s="29">
        <f t="shared" si="6"/>
        <v>255633.72720517806</v>
      </c>
      <c r="P31" s="29">
        <f t="shared" si="6"/>
        <v>255633.72720517806</v>
      </c>
      <c r="Q31" s="29">
        <f t="shared" si="6"/>
        <v>255633.72720517806</v>
      </c>
      <c r="R31" s="29">
        <f t="shared" si="6"/>
        <v>255633.72720517806</v>
      </c>
      <c r="S31" s="29">
        <f t="shared" si="6"/>
        <v>255633.72720517806</v>
      </c>
      <c r="T31" s="29">
        <f t="shared" si="6"/>
        <v>255633.72720517806</v>
      </c>
      <c r="U31" s="29">
        <f t="shared" si="6"/>
        <v>255633.72720517806</v>
      </c>
      <c r="V31" s="29">
        <f t="shared" si="6"/>
        <v>255633.72720517806</v>
      </c>
      <c r="W31" s="9">
        <f>SUM(C31:V31)</f>
        <v>4205174.8125251802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409013.9635282848</v>
      </c>
      <c r="D32" s="26">
        <f t="shared" ref="D32:E32" si="7">D23-D28-D29-D30-D31</f>
        <v>409013.9635282848</v>
      </c>
      <c r="E32" s="26">
        <f t="shared" si="7"/>
        <v>280866.8935282848</v>
      </c>
      <c r="F32" s="26">
        <f>F23-F28-F29-F30-F31</f>
        <v>274459.54002828477</v>
      </c>
      <c r="G32" s="26">
        <f t="shared" ref="G32:O32" si="8">G23-G28-G29-G30-G31</f>
        <v>267731.81885328481</v>
      </c>
      <c r="H32" s="26">
        <f t="shared" si="8"/>
        <v>311794.4570605703</v>
      </c>
      <c r="I32" s="26">
        <f t="shared" si="8"/>
        <v>866771.34431652469</v>
      </c>
      <c r="J32" s="26">
        <f t="shared" si="8"/>
        <v>858983.16609131522</v>
      </c>
      <c r="K32" s="26">
        <f t="shared" si="8"/>
        <v>850805.57895484543</v>
      </c>
      <c r="L32" s="26">
        <f t="shared" si="8"/>
        <v>842219.11246155226</v>
      </c>
      <c r="M32" s="26">
        <f t="shared" si="8"/>
        <v>833203.32264359412</v>
      </c>
      <c r="N32" s="26">
        <f t="shared" si="8"/>
        <v>823736.7433347383</v>
      </c>
      <c r="O32" s="26">
        <f t="shared" si="8"/>
        <v>813796.83506043954</v>
      </c>
      <c r="P32" s="26">
        <f>P23-P28-P29-P30-P31</f>
        <v>803359.93137242575</v>
      </c>
      <c r="Q32" s="26">
        <f t="shared" ref="Q32:V32" si="9">Q23-Q28-Q29-Q30-Q31</f>
        <v>792401.18250001152</v>
      </c>
      <c r="R32" s="26">
        <f t="shared" si="9"/>
        <v>780894.49618397653</v>
      </c>
      <c r="S32" s="26">
        <f t="shared" si="9"/>
        <v>768812.47555213957</v>
      </c>
      <c r="T32" s="26">
        <f t="shared" si="9"/>
        <v>756126.35388871096</v>
      </c>
      <c r="U32" s="26">
        <f t="shared" si="9"/>
        <v>742805.92614211095</v>
      </c>
      <c r="V32" s="26">
        <f t="shared" si="9"/>
        <v>728819.47700818093</v>
      </c>
      <c r="W32" s="9">
        <f>SUM(C32:V32)</f>
        <v>13215616.582037563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1"/>
  <sheetViews>
    <sheetView topLeftCell="O25" zoomScale="99" zoomScaleNormal="99" workbookViewId="0">
      <selection activeCell="C31" sqref="C31:V31"/>
    </sheetView>
  </sheetViews>
  <sheetFormatPr defaultRowHeight="15" x14ac:dyDescent="0.25"/>
  <cols>
    <col min="1" max="1" width="60.140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341.55*5</f>
        <v>1707.75</v>
      </c>
      <c r="C4" s="1" t="s">
        <v>64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5" t="s">
        <v>69</v>
      </c>
      <c r="B13" s="3">
        <v>10038585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1899980.4049033502</v>
      </c>
      <c r="D23" s="6">
        <f t="shared" ref="D23:V23" si="0">((($B$4*$B$7*$F$7)-((($B$4*$B$7*$F$7)*10%))+((($B$4*$B$9)*$F$9)+((($B$4*$B$7)*$F$9)*10%))))</f>
        <v>1899980.4049033502</v>
      </c>
      <c r="E23" s="6">
        <f t="shared" si="0"/>
        <v>1899980.4049033502</v>
      </c>
      <c r="F23" s="6">
        <f t="shared" si="0"/>
        <v>1899980.4049033502</v>
      </c>
      <c r="G23" s="6">
        <f t="shared" si="0"/>
        <v>1899980.4049033502</v>
      </c>
      <c r="H23" s="6">
        <f t="shared" si="0"/>
        <v>1899980.4049033502</v>
      </c>
      <c r="I23" s="6">
        <f t="shared" si="0"/>
        <v>1899980.4049033502</v>
      </c>
      <c r="J23" s="6">
        <f t="shared" si="0"/>
        <v>1899980.4049033502</v>
      </c>
      <c r="K23" s="6">
        <f t="shared" si="0"/>
        <v>1899980.4049033502</v>
      </c>
      <c r="L23" s="6">
        <f t="shared" si="0"/>
        <v>1899980.4049033502</v>
      </c>
      <c r="M23" s="6">
        <f t="shared" si="0"/>
        <v>1899980.4049033502</v>
      </c>
      <c r="N23" s="6">
        <f t="shared" si="0"/>
        <v>1899980.4049033502</v>
      </c>
      <c r="O23" s="6">
        <f t="shared" si="0"/>
        <v>1899980.4049033502</v>
      </c>
      <c r="P23" s="6">
        <f t="shared" si="0"/>
        <v>1899980.4049033502</v>
      </c>
      <c r="Q23" s="6">
        <f t="shared" si="0"/>
        <v>1899980.4049033502</v>
      </c>
      <c r="R23" s="6">
        <f t="shared" si="0"/>
        <v>1899980.4049033502</v>
      </c>
      <c r="S23" s="6">
        <f t="shared" si="0"/>
        <v>1899980.4049033502</v>
      </c>
      <c r="T23" s="6">
        <f t="shared" si="0"/>
        <v>1899980.4049033502</v>
      </c>
      <c r="U23" s="6">
        <f t="shared" si="0"/>
        <v>1899980.4049033502</v>
      </c>
      <c r="V23" s="6">
        <f t="shared" si="0"/>
        <v>1899980.4049033502</v>
      </c>
      <c r="W23" s="9">
        <f>SUM(B23:V23)</f>
        <v>37999608.098066993</v>
      </c>
    </row>
    <row r="24" spans="1:23" s="4" customFormat="1" x14ac:dyDescent="0.25">
      <c r="A24" s="5" t="s">
        <v>29</v>
      </c>
      <c r="B24" s="6">
        <f>B13</f>
        <v>10038585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10038585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51</v>
      </c>
      <c r="B26" s="10">
        <f>B13</f>
        <v>10038585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-10038585</v>
      </c>
      <c r="C29" s="32">
        <f>C23*0.8</f>
        <v>1519984.3239226802</v>
      </c>
      <c r="D29" s="32">
        <f t="shared" ref="D29:G29" si="3">D23*0.8</f>
        <v>1519984.3239226802</v>
      </c>
      <c r="E29" s="32">
        <f t="shared" si="3"/>
        <v>1519984.3239226802</v>
      </c>
      <c r="F29" s="32">
        <f t="shared" si="3"/>
        <v>1519984.3239226802</v>
      </c>
      <c r="G29" s="32">
        <f t="shared" si="3"/>
        <v>1519984.3239226802</v>
      </c>
      <c r="H29" s="32">
        <f>(H23*0.8*11/12)+(H23*0.5*1/12)</f>
        <v>1472484.8138000963</v>
      </c>
      <c r="I29" s="32">
        <f>I23*0.5</f>
        <v>949990.20245167508</v>
      </c>
      <c r="J29" s="32">
        <f t="shared" ref="J29:V29" si="4">J23*0.5</f>
        <v>949990.20245167508</v>
      </c>
      <c r="K29" s="32">
        <f t="shared" si="4"/>
        <v>949990.20245167508</v>
      </c>
      <c r="L29" s="32">
        <f t="shared" si="4"/>
        <v>949990.20245167508</v>
      </c>
      <c r="M29" s="32">
        <f t="shared" si="4"/>
        <v>949990.20245167508</v>
      </c>
      <c r="N29" s="32">
        <f t="shared" si="4"/>
        <v>949990.20245167508</v>
      </c>
      <c r="O29" s="32">
        <f t="shared" si="4"/>
        <v>949990.20245167508</v>
      </c>
      <c r="P29" s="32">
        <f t="shared" si="4"/>
        <v>949990.20245167508</v>
      </c>
      <c r="Q29" s="32">
        <f t="shared" si="4"/>
        <v>949990.20245167508</v>
      </c>
      <c r="R29" s="32">
        <f t="shared" si="4"/>
        <v>949990.20245167508</v>
      </c>
      <c r="S29" s="32">
        <f t="shared" si="4"/>
        <v>949990.20245167508</v>
      </c>
      <c r="T29" s="32">
        <f t="shared" si="4"/>
        <v>949990.20245167508</v>
      </c>
      <c r="U29" s="32">
        <f t="shared" si="4"/>
        <v>949990.20245167508</v>
      </c>
      <c r="V29" s="32">
        <f t="shared" si="4"/>
        <v>949990.20245167508</v>
      </c>
      <c r="W29" s="33">
        <f>SUM(B29:V29)</f>
        <v>12333684.267736947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100385.85</v>
      </c>
      <c r="F30" s="42">
        <f>E30*1.05</f>
        <v>105405.14250000002</v>
      </c>
      <c r="G30" s="42">
        <f t="shared" ref="G30:V30" si="5">F30*1.05</f>
        <v>110675.39962500002</v>
      </c>
      <c r="H30" s="42">
        <f t="shared" si="5"/>
        <v>116209.16960625003</v>
      </c>
      <c r="I30" s="42">
        <f t="shared" si="5"/>
        <v>122019.62808656253</v>
      </c>
      <c r="J30" s="42">
        <f t="shared" si="5"/>
        <v>128120.60949089067</v>
      </c>
      <c r="K30" s="42">
        <f t="shared" si="5"/>
        <v>134526.6399654352</v>
      </c>
      <c r="L30" s="42">
        <f t="shared" si="5"/>
        <v>141252.97196370698</v>
      </c>
      <c r="M30" s="42">
        <f t="shared" si="5"/>
        <v>148315.62056189234</v>
      </c>
      <c r="N30" s="42">
        <f t="shared" si="5"/>
        <v>155731.40158998696</v>
      </c>
      <c r="O30" s="42">
        <f t="shared" si="5"/>
        <v>163517.97166948632</v>
      </c>
      <c r="P30" s="42">
        <f t="shared" si="5"/>
        <v>171693.87025296065</v>
      </c>
      <c r="Q30" s="42">
        <f t="shared" si="5"/>
        <v>180278.56376560871</v>
      </c>
      <c r="R30" s="42">
        <f t="shared" si="5"/>
        <v>189292.49195388914</v>
      </c>
      <c r="S30" s="42">
        <f t="shared" si="5"/>
        <v>198757.1165515836</v>
      </c>
      <c r="T30" s="42">
        <f t="shared" si="5"/>
        <v>208694.97237916279</v>
      </c>
      <c r="U30" s="42">
        <f t="shared" si="5"/>
        <v>219129.72099812093</v>
      </c>
      <c r="V30" s="42">
        <f t="shared" si="5"/>
        <v>230086.20704802699</v>
      </c>
      <c r="W30" s="9">
        <f>SUM(C30:V30)</f>
        <v>2824093.3480085633</v>
      </c>
    </row>
    <row r="31" spans="1:23" s="28" customFormat="1" x14ac:dyDescent="0.25">
      <c r="A31" s="28" t="s">
        <v>34</v>
      </c>
      <c r="B31" s="29"/>
      <c r="C31" s="29">
        <f>(C23-C28-C29)*0.2</f>
        <v>75999.216196133988</v>
      </c>
      <c r="D31" s="29">
        <f t="shared" ref="D31:V31" si="6">(D23-D28-D29)*0.2</f>
        <v>75999.216196133988</v>
      </c>
      <c r="E31" s="29">
        <f t="shared" si="6"/>
        <v>75999.216196133988</v>
      </c>
      <c r="F31" s="29">
        <f t="shared" si="6"/>
        <v>75999.216196133988</v>
      </c>
      <c r="G31" s="29">
        <f t="shared" si="6"/>
        <v>75999.216196133988</v>
      </c>
      <c r="H31" s="29">
        <f t="shared" si="6"/>
        <v>85499.11822065078</v>
      </c>
      <c r="I31" s="29">
        <f t="shared" si="6"/>
        <v>189998.04049033503</v>
      </c>
      <c r="J31" s="29">
        <f t="shared" si="6"/>
        <v>189998.04049033503</v>
      </c>
      <c r="K31" s="29">
        <f t="shared" si="6"/>
        <v>189998.04049033503</v>
      </c>
      <c r="L31" s="29">
        <f t="shared" si="6"/>
        <v>189998.04049033503</v>
      </c>
      <c r="M31" s="29">
        <f t="shared" si="6"/>
        <v>189998.04049033503</v>
      </c>
      <c r="N31" s="29">
        <f t="shared" si="6"/>
        <v>189998.04049033503</v>
      </c>
      <c r="O31" s="29">
        <f t="shared" si="6"/>
        <v>189998.04049033503</v>
      </c>
      <c r="P31" s="29">
        <f t="shared" si="6"/>
        <v>189998.04049033503</v>
      </c>
      <c r="Q31" s="29">
        <f t="shared" si="6"/>
        <v>189998.04049033503</v>
      </c>
      <c r="R31" s="29">
        <f t="shared" si="6"/>
        <v>189998.04049033503</v>
      </c>
      <c r="S31" s="29">
        <f t="shared" si="6"/>
        <v>189998.04049033503</v>
      </c>
      <c r="T31" s="29">
        <f t="shared" si="6"/>
        <v>189998.04049033503</v>
      </c>
      <c r="U31" s="29">
        <f t="shared" si="6"/>
        <v>189998.04049033503</v>
      </c>
      <c r="V31" s="29">
        <f t="shared" si="6"/>
        <v>189998.04049033503</v>
      </c>
      <c r="W31" s="9">
        <f>SUM(C31:V31)</f>
        <v>3125467.7660660106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303996.86478453595</v>
      </c>
      <c r="D32" s="26">
        <f t="shared" ref="D32:E32" si="7">D23-D28-D29-D30-D31</f>
        <v>303996.86478453595</v>
      </c>
      <c r="E32" s="26">
        <f t="shared" si="7"/>
        <v>203611.01478453598</v>
      </c>
      <c r="F32" s="26">
        <f>F23-F28-F29-F30-F31</f>
        <v>198591.72228453594</v>
      </c>
      <c r="G32" s="26">
        <f t="shared" ref="G32:O32" si="8">G23-G28-G29-G30-G31</f>
        <v>193321.46515953593</v>
      </c>
      <c r="H32" s="26">
        <f t="shared" si="8"/>
        <v>225787.30327635311</v>
      </c>
      <c r="I32" s="26">
        <f t="shared" si="8"/>
        <v>637972.53387477761</v>
      </c>
      <c r="J32" s="26">
        <f t="shared" si="8"/>
        <v>631871.55247044936</v>
      </c>
      <c r="K32" s="26">
        <f t="shared" si="8"/>
        <v>625465.52199590486</v>
      </c>
      <c r="L32" s="26">
        <f t="shared" si="8"/>
        <v>618739.18999763299</v>
      </c>
      <c r="M32" s="26">
        <f t="shared" si="8"/>
        <v>611676.54139944771</v>
      </c>
      <c r="N32" s="26">
        <f t="shared" si="8"/>
        <v>604260.76037135301</v>
      </c>
      <c r="O32" s="26">
        <f t="shared" si="8"/>
        <v>596474.19029185362</v>
      </c>
      <c r="P32" s="26">
        <f>P23-P28-P29-P30-P31</f>
        <v>588298.29170837929</v>
      </c>
      <c r="Q32" s="26">
        <f t="shared" ref="Q32:V32" si="9">Q23-Q28-Q29-Q30-Q31</f>
        <v>579713.59819573141</v>
      </c>
      <c r="R32" s="26">
        <f t="shared" si="9"/>
        <v>570699.67000745097</v>
      </c>
      <c r="S32" s="26">
        <f t="shared" si="9"/>
        <v>561235.04540975648</v>
      </c>
      <c r="T32" s="26">
        <f t="shared" si="9"/>
        <v>551297.18958217721</v>
      </c>
      <c r="U32" s="26">
        <f t="shared" si="9"/>
        <v>540862.44096321915</v>
      </c>
      <c r="V32" s="26">
        <f t="shared" si="9"/>
        <v>529905.95491331303</v>
      </c>
      <c r="W32" s="9">
        <f>SUM(C32:V32)</f>
        <v>9677777.7162554804</v>
      </c>
    </row>
    <row r="33" spans="1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25"/>
    <row r="36" spans="1:22" s="14" customFormat="1" x14ac:dyDescent="0.2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5">
      <c r="A37" s="11" t="s">
        <v>35</v>
      </c>
      <c r="B37" s="12">
        <f>NPV(0.05,B29:V29)</f>
        <v>4436250.001198289</v>
      </c>
      <c r="C37" s="18" t="e">
        <f>B37/B18</f>
        <v>#DIV/0!</v>
      </c>
      <c r="D37" t="s">
        <v>30</v>
      </c>
    </row>
    <row r="38" spans="1:22" x14ac:dyDescent="0.25">
      <c r="A38" s="11" t="s">
        <v>27</v>
      </c>
      <c r="B38" s="13">
        <f>IRR(B29:V29,0.05)</f>
        <v>0.10845710716957746</v>
      </c>
    </row>
    <row r="39" spans="1:22" x14ac:dyDescent="0.2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25">
      <c r="A40" s="16"/>
      <c r="B40" t="s">
        <v>32</v>
      </c>
    </row>
    <row r="41" spans="1:22" s="21" customFormat="1" x14ac:dyDescent="0.25">
      <c r="C41" s="27"/>
    </row>
  </sheetData>
  <pageMargins left="0.25" right="0.25" top="0.75" bottom="0.75" header="0.3" footer="0.3"/>
  <pageSetup paperSize="9" scale="3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4"/>
  <sheetViews>
    <sheetView topLeftCell="P31" zoomScale="99" zoomScaleNormal="99" workbookViewId="0">
      <selection activeCell="C31" sqref="C31:V31"/>
    </sheetView>
  </sheetViews>
  <sheetFormatPr defaultRowHeight="15" x14ac:dyDescent="0.25"/>
  <cols>
    <col min="1" max="1" width="60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408.48*5</f>
        <v>2042.4</v>
      </c>
      <c r="C4" s="1" t="s">
        <v>67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66</v>
      </c>
      <c r="B13" s="3">
        <v>12863054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25">
      <c r="A24" s="5" t="s">
        <v>29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-12863054</v>
      </c>
      <c r="C29" s="32">
        <f>C23*0.8</f>
        <v>1817839.8379034884</v>
      </c>
      <c r="D29" s="32">
        <f t="shared" ref="D29:G29" si="3">D23*0.8</f>
        <v>1817839.8379034884</v>
      </c>
      <c r="E29" s="32">
        <f t="shared" si="3"/>
        <v>1817839.8379034884</v>
      </c>
      <c r="F29" s="32">
        <f t="shared" si="3"/>
        <v>1817839.8379034884</v>
      </c>
      <c r="G29" s="32">
        <f t="shared" si="3"/>
        <v>1817839.8379034884</v>
      </c>
      <c r="H29" s="32">
        <f>(H23*0.8*11/12)+(H23*0.5*1/12)</f>
        <v>1761032.3429690045</v>
      </c>
      <c r="I29" s="32">
        <f>I23*0.5</f>
        <v>1136149.8986896803</v>
      </c>
      <c r="J29" s="32">
        <f t="shared" ref="J29:V29" si="4">J23*0.5</f>
        <v>1136149.8986896803</v>
      </c>
      <c r="K29" s="32">
        <f t="shared" si="4"/>
        <v>1136149.8986896803</v>
      </c>
      <c r="L29" s="32">
        <f t="shared" si="4"/>
        <v>1136149.8986896803</v>
      </c>
      <c r="M29" s="32">
        <f t="shared" si="4"/>
        <v>1136149.8986896803</v>
      </c>
      <c r="N29" s="32">
        <f t="shared" si="4"/>
        <v>1136149.8986896803</v>
      </c>
      <c r="O29" s="32">
        <f t="shared" si="4"/>
        <v>1136149.8986896803</v>
      </c>
      <c r="P29" s="32">
        <f t="shared" si="4"/>
        <v>1136149.8986896803</v>
      </c>
      <c r="Q29" s="32">
        <f t="shared" si="4"/>
        <v>1136149.8986896803</v>
      </c>
      <c r="R29" s="32">
        <f t="shared" si="4"/>
        <v>1136149.8986896803</v>
      </c>
      <c r="S29" s="32">
        <f t="shared" si="4"/>
        <v>1136149.8986896803</v>
      </c>
      <c r="T29" s="32">
        <f t="shared" si="4"/>
        <v>1136149.8986896803</v>
      </c>
      <c r="U29" s="32">
        <f t="shared" si="4"/>
        <v>1136149.8986896803</v>
      </c>
      <c r="V29" s="32">
        <f t="shared" si="4"/>
        <v>1136149.8986896803</v>
      </c>
      <c r="W29" s="33">
        <f>SUM(B29:V29)</f>
        <v>13893276.114141967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128630.54</v>
      </c>
      <c r="F30" s="42">
        <f>E30*1.05</f>
        <v>135062.06700000001</v>
      </c>
      <c r="G30" s="42">
        <f t="shared" ref="G30:V30" si="5">F30*1.05</f>
        <v>141815.17035000003</v>
      </c>
      <c r="H30" s="42">
        <f t="shared" si="5"/>
        <v>148905.92886750004</v>
      </c>
      <c r="I30" s="42">
        <f t="shared" si="5"/>
        <v>156351.22531087504</v>
      </c>
      <c r="J30" s="42">
        <f t="shared" si="5"/>
        <v>164168.78657641882</v>
      </c>
      <c r="K30" s="42">
        <f t="shared" si="5"/>
        <v>172377.22590523976</v>
      </c>
      <c r="L30" s="42">
        <f t="shared" si="5"/>
        <v>180996.08720050176</v>
      </c>
      <c r="M30" s="42">
        <f t="shared" si="5"/>
        <v>190045.89156052686</v>
      </c>
      <c r="N30" s="42">
        <f t="shared" si="5"/>
        <v>199548.1861385532</v>
      </c>
      <c r="O30" s="42">
        <f t="shared" si="5"/>
        <v>209525.59544548087</v>
      </c>
      <c r="P30" s="42">
        <f t="shared" si="5"/>
        <v>220001.87521775492</v>
      </c>
      <c r="Q30" s="42">
        <f t="shared" si="5"/>
        <v>231001.96897864266</v>
      </c>
      <c r="R30" s="42">
        <f t="shared" si="5"/>
        <v>242552.0674275748</v>
      </c>
      <c r="S30" s="42">
        <f t="shared" si="5"/>
        <v>254679.67079895356</v>
      </c>
      <c r="T30" s="42">
        <f t="shared" si="5"/>
        <v>267413.65433890128</v>
      </c>
      <c r="U30" s="42">
        <f t="shared" si="5"/>
        <v>280784.33705584635</v>
      </c>
      <c r="V30" s="42">
        <f t="shared" si="5"/>
        <v>294823.55390863866</v>
      </c>
      <c r="W30" s="9">
        <f>SUM(C30:V30)</f>
        <v>3618683.8320814082</v>
      </c>
    </row>
    <row r="31" spans="1:23" s="28" customFormat="1" x14ac:dyDescent="0.25">
      <c r="A31" s="28" t="s">
        <v>34</v>
      </c>
      <c r="B31" s="29"/>
      <c r="C31" s="29">
        <f>(C23-C28-C29)*0.2</f>
        <v>90891.991895174433</v>
      </c>
      <c r="D31" s="29">
        <f t="shared" ref="D31:V31" si="6">(D23-D28-D29)*0.2</f>
        <v>90891.991895174433</v>
      </c>
      <c r="E31" s="29">
        <f t="shared" si="6"/>
        <v>90891.991895174433</v>
      </c>
      <c r="F31" s="29">
        <f t="shared" si="6"/>
        <v>90891.991895174433</v>
      </c>
      <c r="G31" s="29">
        <f t="shared" si="6"/>
        <v>90891.991895174433</v>
      </c>
      <c r="H31" s="29">
        <f t="shared" si="6"/>
        <v>102253.4908820712</v>
      </c>
      <c r="I31" s="29">
        <f t="shared" si="6"/>
        <v>227229.97973793605</v>
      </c>
      <c r="J31" s="29">
        <f t="shared" si="6"/>
        <v>227229.97973793605</v>
      </c>
      <c r="K31" s="29">
        <f t="shared" si="6"/>
        <v>227229.97973793605</v>
      </c>
      <c r="L31" s="29">
        <f t="shared" si="6"/>
        <v>227229.97973793605</v>
      </c>
      <c r="M31" s="29">
        <f t="shared" si="6"/>
        <v>227229.97973793605</v>
      </c>
      <c r="N31" s="29">
        <f t="shared" si="6"/>
        <v>227229.97973793605</v>
      </c>
      <c r="O31" s="29">
        <f t="shared" si="6"/>
        <v>227229.97973793605</v>
      </c>
      <c r="P31" s="29">
        <f t="shared" si="6"/>
        <v>227229.97973793605</v>
      </c>
      <c r="Q31" s="29">
        <f t="shared" si="6"/>
        <v>227229.97973793605</v>
      </c>
      <c r="R31" s="29">
        <f t="shared" si="6"/>
        <v>227229.97973793605</v>
      </c>
      <c r="S31" s="29">
        <f t="shared" si="6"/>
        <v>227229.97973793605</v>
      </c>
      <c r="T31" s="29">
        <f t="shared" si="6"/>
        <v>227229.97973793605</v>
      </c>
      <c r="U31" s="29">
        <f t="shared" si="6"/>
        <v>227229.97973793605</v>
      </c>
      <c r="V31" s="29">
        <f t="shared" si="6"/>
        <v>227229.97973793605</v>
      </c>
      <c r="W31" s="9">
        <f>SUM(C31:V31)</f>
        <v>3737933.1666890481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363567.96758069767</v>
      </c>
      <c r="D32" s="26">
        <f t="shared" ref="D32:E32" si="7">D23-D28-D29-D30-D31</f>
        <v>363567.96758069767</v>
      </c>
      <c r="E32" s="26">
        <f t="shared" si="7"/>
        <v>234937.42758069769</v>
      </c>
      <c r="F32" s="26">
        <f>F23-F28-F29-F30-F31</f>
        <v>228505.90058069763</v>
      </c>
      <c r="G32" s="26">
        <f t="shared" ref="G32:O32" si="8">G23-G28-G29-G30-G31</f>
        <v>221752.79723069764</v>
      </c>
      <c r="H32" s="26">
        <f t="shared" si="8"/>
        <v>260108.03466078476</v>
      </c>
      <c r="I32" s="26">
        <f t="shared" si="8"/>
        <v>752568.69364086911</v>
      </c>
      <c r="J32" s="26">
        <f t="shared" si="8"/>
        <v>744751.13237532543</v>
      </c>
      <c r="K32" s="26">
        <f t="shared" si="8"/>
        <v>736542.6930465044</v>
      </c>
      <c r="L32" s="26">
        <f t="shared" si="8"/>
        <v>727923.83175124251</v>
      </c>
      <c r="M32" s="26">
        <f t="shared" si="8"/>
        <v>718874.02739121742</v>
      </c>
      <c r="N32" s="26">
        <f t="shared" si="8"/>
        <v>709371.73281319102</v>
      </c>
      <c r="O32" s="26">
        <f t="shared" si="8"/>
        <v>699394.32350626332</v>
      </c>
      <c r="P32" s="26">
        <f>P23-P28-P29-P30-P31</f>
        <v>688918.04373398935</v>
      </c>
      <c r="Q32" s="26">
        <f t="shared" ref="Q32:V32" si="9">Q23-Q28-Q29-Q30-Q31</f>
        <v>677917.94997310149</v>
      </c>
      <c r="R32" s="26">
        <f t="shared" si="9"/>
        <v>666367.85152416944</v>
      </c>
      <c r="S32" s="26">
        <f t="shared" si="9"/>
        <v>654240.24815279059</v>
      </c>
      <c r="T32" s="26">
        <f t="shared" si="9"/>
        <v>641506.26461284293</v>
      </c>
      <c r="U32" s="26">
        <f t="shared" si="9"/>
        <v>628135.58189589786</v>
      </c>
      <c r="V32" s="26">
        <f t="shared" si="9"/>
        <v>614096.36504310556</v>
      </c>
      <c r="W32" s="9">
        <f>SUM(C32:V32)</f>
        <v>11333048.834674781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1"/>
  <sheetViews>
    <sheetView topLeftCell="O31" zoomScale="99" zoomScaleNormal="99" workbookViewId="0">
      <selection activeCell="C31" sqref="C31:V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110.4*5</f>
        <v>552</v>
      </c>
      <c r="C4" s="1" t="s">
        <v>68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70</v>
      </c>
      <c r="B13" s="3">
        <v>2838910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614135.0803728</v>
      </c>
      <c r="D23" s="6">
        <f t="shared" ref="D23:V23" si="0">((($B$4*$B$7*$F$7)-((($B$4*$B$7*$F$7)*10%))+((($B$4*$B$9)*$F$9)+((($B$4*$B$7)*$F$9)*10%))))</f>
        <v>614135.0803728</v>
      </c>
      <c r="E23" s="6">
        <f t="shared" si="0"/>
        <v>614135.0803728</v>
      </c>
      <c r="F23" s="6">
        <f t="shared" si="0"/>
        <v>614135.0803728</v>
      </c>
      <c r="G23" s="6">
        <f t="shared" si="0"/>
        <v>614135.0803728</v>
      </c>
      <c r="H23" s="6">
        <f t="shared" si="0"/>
        <v>614135.0803728</v>
      </c>
      <c r="I23" s="6">
        <f t="shared" si="0"/>
        <v>614135.0803728</v>
      </c>
      <c r="J23" s="6">
        <f t="shared" si="0"/>
        <v>614135.0803728</v>
      </c>
      <c r="K23" s="6">
        <f t="shared" si="0"/>
        <v>614135.0803728</v>
      </c>
      <c r="L23" s="6">
        <f t="shared" si="0"/>
        <v>614135.0803728</v>
      </c>
      <c r="M23" s="6">
        <f t="shared" si="0"/>
        <v>614135.0803728</v>
      </c>
      <c r="N23" s="6">
        <f t="shared" si="0"/>
        <v>614135.0803728</v>
      </c>
      <c r="O23" s="6">
        <f t="shared" si="0"/>
        <v>614135.0803728</v>
      </c>
      <c r="P23" s="6">
        <f t="shared" si="0"/>
        <v>614135.0803728</v>
      </c>
      <c r="Q23" s="6">
        <f t="shared" si="0"/>
        <v>614135.0803728</v>
      </c>
      <c r="R23" s="6">
        <f t="shared" si="0"/>
        <v>614135.0803728</v>
      </c>
      <c r="S23" s="6">
        <f t="shared" si="0"/>
        <v>614135.0803728</v>
      </c>
      <c r="T23" s="6">
        <f t="shared" si="0"/>
        <v>614135.0803728</v>
      </c>
      <c r="U23" s="6">
        <f t="shared" si="0"/>
        <v>614135.0803728</v>
      </c>
      <c r="V23" s="6">
        <f t="shared" si="0"/>
        <v>614135.0803728</v>
      </c>
      <c r="W23" s="9">
        <f>SUM(B23:V23)</f>
        <v>12282701.607455995</v>
      </c>
    </row>
    <row r="24" spans="1:23" s="4" customFormat="1" x14ac:dyDescent="0.25">
      <c r="A24" s="5" t="s">
        <v>29</v>
      </c>
      <c r="B24" s="6">
        <f>B13</f>
        <v>2838910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2838910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2838910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-2838910</v>
      </c>
      <c r="C29" s="32">
        <f>C23*0.8</f>
        <v>491308.06429824</v>
      </c>
      <c r="D29" s="32">
        <f t="shared" ref="D29:G29" si="3">D23*0.8</f>
        <v>491308.06429824</v>
      </c>
      <c r="E29" s="32">
        <f t="shared" si="3"/>
        <v>491308.06429824</v>
      </c>
      <c r="F29" s="32">
        <f t="shared" si="3"/>
        <v>491308.06429824</v>
      </c>
      <c r="G29" s="32">
        <f t="shared" si="3"/>
        <v>491308.06429824</v>
      </c>
      <c r="H29" s="32">
        <f>(H23*0.8*11/12)+(H23*0.5*1/12)</f>
        <v>475954.68728891999</v>
      </c>
      <c r="I29" s="32">
        <f>I23*0.5</f>
        <v>307067.5401864</v>
      </c>
      <c r="J29" s="32">
        <f t="shared" ref="J29:V29" si="4">J23*0.5</f>
        <v>307067.5401864</v>
      </c>
      <c r="K29" s="32">
        <f t="shared" si="4"/>
        <v>307067.5401864</v>
      </c>
      <c r="L29" s="32">
        <f t="shared" si="4"/>
        <v>307067.5401864</v>
      </c>
      <c r="M29" s="32">
        <f t="shared" si="4"/>
        <v>307067.5401864</v>
      </c>
      <c r="N29" s="32">
        <f t="shared" si="4"/>
        <v>307067.5401864</v>
      </c>
      <c r="O29" s="32">
        <f t="shared" si="4"/>
        <v>307067.5401864</v>
      </c>
      <c r="P29" s="32">
        <f t="shared" si="4"/>
        <v>307067.5401864</v>
      </c>
      <c r="Q29" s="32">
        <f t="shared" si="4"/>
        <v>307067.5401864</v>
      </c>
      <c r="R29" s="32">
        <f t="shared" si="4"/>
        <v>307067.5401864</v>
      </c>
      <c r="S29" s="32">
        <f t="shared" si="4"/>
        <v>307067.5401864</v>
      </c>
      <c r="T29" s="32">
        <f t="shared" si="4"/>
        <v>307067.5401864</v>
      </c>
      <c r="U29" s="32">
        <f t="shared" si="4"/>
        <v>307067.5401864</v>
      </c>
      <c r="V29" s="32">
        <f t="shared" si="4"/>
        <v>307067.5401864</v>
      </c>
      <c r="W29" s="33">
        <f>SUM(B29:V29)</f>
        <v>4392530.5713897208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28389.1</v>
      </c>
      <c r="F30" s="42">
        <f>E30*1.05</f>
        <v>29808.555</v>
      </c>
      <c r="G30" s="42">
        <f t="shared" ref="G30:V30" si="5">F30*1.05</f>
        <v>31298.982750000003</v>
      </c>
      <c r="H30" s="42">
        <f t="shared" si="5"/>
        <v>32863.931887500003</v>
      </c>
      <c r="I30" s="42">
        <f t="shared" si="5"/>
        <v>34507.128481875006</v>
      </c>
      <c r="J30" s="42">
        <f t="shared" si="5"/>
        <v>36232.484905968755</v>
      </c>
      <c r="K30" s="42">
        <f t="shared" si="5"/>
        <v>38044.109151267192</v>
      </c>
      <c r="L30" s="42">
        <f t="shared" si="5"/>
        <v>39946.314608830551</v>
      </c>
      <c r="M30" s="42">
        <f t="shared" si="5"/>
        <v>41943.63033927208</v>
      </c>
      <c r="N30" s="42">
        <f t="shared" si="5"/>
        <v>44040.811856235683</v>
      </c>
      <c r="O30" s="42">
        <f t="shared" si="5"/>
        <v>46242.852449047467</v>
      </c>
      <c r="P30" s="42">
        <f t="shared" si="5"/>
        <v>48554.995071499841</v>
      </c>
      <c r="Q30" s="42">
        <f t="shared" si="5"/>
        <v>50982.744825074835</v>
      </c>
      <c r="R30" s="42">
        <f t="shared" si="5"/>
        <v>53531.882066328581</v>
      </c>
      <c r="S30" s="42">
        <f t="shared" si="5"/>
        <v>56208.476169645015</v>
      </c>
      <c r="T30" s="42">
        <f t="shared" si="5"/>
        <v>59018.899978127265</v>
      </c>
      <c r="U30" s="42">
        <f t="shared" si="5"/>
        <v>61969.84497703363</v>
      </c>
      <c r="V30" s="42">
        <f t="shared" si="5"/>
        <v>65068.337225885312</v>
      </c>
      <c r="W30" s="9">
        <f>SUM(C30:V30)</f>
        <v>798653.08174359123</v>
      </c>
    </row>
    <row r="31" spans="1:23" s="28" customFormat="1" x14ac:dyDescent="0.25">
      <c r="A31" s="28" t="s">
        <v>34</v>
      </c>
      <c r="B31" s="29"/>
      <c r="C31" s="29">
        <f>(C23-C28-C29)*0.2</f>
        <v>24565.403214912003</v>
      </c>
      <c r="D31" s="29">
        <f t="shared" ref="D31:V31" si="6">(D23-D28-D29)*0.2</f>
        <v>24565.403214912003</v>
      </c>
      <c r="E31" s="29">
        <f t="shared" si="6"/>
        <v>24565.403214912003</v>
      </c>
      <c r="F31" s="29">
        <f t="shared" si="6"/>
        <v>24565.403214912003</v>
      </c>
      <c r="G31" s="29">
        <f t="shared" si="6"/>
        <v>24565.403214912003</v>
      </c>
      <c r="H31" s="29">
        <f t="shared" si="6"/>
        <v>27636.078616776005</v>
      </c>
      <c r="I31" s="29">
        <f t="shared" si="6"/>
        <v>61413.50803728</v>
      </c>
      <c r="J31" s="29">
        <f t="shared" si="6"/>
        <v>61413.50803728</v>
      </c>
      <c r="K31" s="29">
        <f t="shared" si="6"/>
        <v>61413.50803728</v>
      </c>
      <c r="L31" s="29">
        <f t="shared" si="6"/>
        <v>61413.50803728</v>
      </c>
      <c r="M31" s="29">
        <f t="shared" si="6"/>
        <v>61413.50803728</v>
      </c>
      <c r="N31" s="29">
        <f t="shared" si="6"/>
        <v>61413.50803728</v>
      </c>
      <c r="O31" s="29">
        <f t="shared" si="6"/>
        <v>61413.50803728</v>
      </c>
      <c r="P31" s="29">
        <f t="shared" si="6"/>
        <v>61413.50803728</v>
      </c>
      <c r="Q31" s="29">
        <f t="shared" si="6"/>
        <v>61413.50803728</v>
      </c>
      <c r="R31" s="29">
        <f t="shared" si="6"/>
        <v>61413.50803728</v>
      </c>
      <c r="S31" s="29">
        <f t="shared" si="6"/>
        <v>61413.50803728</v>
      </c>
      <c r="T31" s="29">
        <f t="shared" si="6"/>
        <v>61413.50803728</v>
      </c>
      <c r="U31" s="29">
        <f t="shared" si="6"/>
        <v>61413.50803728</v>
      </c>
      <c r="V31" s="29">
        <f t="shared" si="6"/>
        <v>61413.50803728</v>
      </c>
      <c r="W31" s="9">
        <f>SUM(C31:V31)</f>
        <v>1010252.2072132565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98261.612859647998</v>
      </c>
      <c r="D32" s="26">
        <f t="shared" ref="D32:E32" si="7">D23-D28-D29-D30-D31</f>
        <v>98261.612859647998</v>
      </c>
      <c r="E32" s="26">
        <f t="shared" si="7"/>
        <v>69872.512859647992</v>
      </c>
      <c r="F32" s="26">
        <f>F23-F28-F29-F30-F31</f>
        <v>68453.057859648005</v>
      </c>
      <c r="G32" s="26">
        <f t="shared" ref="G32:O32" si="8">G23-G28-G29-G30-G31</f>
        <v>66962.630109648002</v>
      </c>
      <c r="H32" s="26">
        <f t="shared" si="8"/>
        <v>77680.382579604004</v>
      </c>
      <c r="I32" s="26">
        <f t="shared" si="8"/>
        <v>211146.903667245</v>
      </c>
      <c r="J32" s="26">
        <f t="shared" si="8"/>
        <v>209421.54724315123</v>
      </c>
      <c r="K32" s="26">
        <f t="shared" si="8"/>
        <v>207609.92299785279</v>
      </c>
      <c r="L32" s="26">
        <f t="shared" si="8"/>
        <v>205707.71754028945</v>
      </c>
      <c r="M32" s="26">
        <f t="shared" si="8"/>
        <v>203710.40180984791</v>
      </c>
      <c r="N32" s="26">
        <f t="shared" si="8"/>
        <v>201613.22029288433</v>
      </c>
      <c r="O32" s="26">
        <f t="shared" si="8"/>
        <v>199411.17970007253</v>
      </c>
      <c r="P32" s="26">
        <f>P23-P28-P29-P30-P31</f>
        <v>197099.03707762016</v>
      </c>
      <c r="Q32" s="26">
        <f t="shared" ref="Q32:V32" si="9">Q23-Q28-Q29-Q30-Q31</f>
        <v>194671.28732404517</v>
      </c>
      <c r="R32" s="26">
        <f t="shared" si="9"/>
        <v>192122.15008279143</v>
      </c>
      <c r="S32" s="26">
        <f t="shared" si="9"/>
        <v>189445.55597947497</v>
      </c>
      <c r="T32" s="26">
        <f t="shared" si="9"/>
        <v>186635.13217099273</v>
      </c>
      <c r="U32" s="26">
        <f t="shared" si="9"/>
        <v>183684.18717208639</v>
      </c>
      <c r="V32" s="26">
        <f t="shared" si="9"/>
        <v>180585.6949232347</v>
      </c>
      <c r="W32" s="9">
        <f>SUM(C32:V32)</f>
        <v>3242355.7471094332</v>
      </c>
    </row>
    <row r="33" spans="1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25"/>
    <row r="36" spans="1:22" s="14" customFormat="1" x14ac:dyDescent="0.2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5">
      <c r="A37" s="11" t="s">
        <v>35</v>
      </c>
      <c r="B37" s="12">
        <f>NPV(0.05,B29:V29)</f>
        <v>1820496.6814840063</v>
      </c>
      <c r="C37" s="18" t="e">
        <f>B37/B18</f>
        <v>#DIV/0!</v>
      </c>
      <c r="D37" t="s">
        <v>30</v>
      </c>
    </row>
    <row r="38" spans="1:22" x14ac:dyDescent="0.25">
      <c r="A38" s="11" t="s">
        <v>27</v>
      </c>
      <c r="B38" s="13">
        <f>IRR(B29:V29,0.05)</f>
        <v>0.13320592191107639</v>
      </c>
    </row>
    <row r="39" spans="1:22" x14ac:dyDescent="0.2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25">
      <c r="A40" s="16"/>
      <c r="B40" t="s">
        <v>32</v>
      </c>
    </row>
    <row r="41" spans="1:22" s="21" customFormat="1" x14ac:dyDescent="0.25">
      <c r="C41" s="27"/>
    </row>
  </sheetData>
  <pageMargins left="0.25" right="0.25" top="0.75" bottom="0.75" header="0.3" footer="0.3"/>
  <pageSetup paperSize="9" scale="3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4"/>
  <sheetViews>
    <sheetView topLeftCell="P31" zoomScale="99" zoomScaleNormal="99" workbookViewId="0">
      <selection activeCell="U31" sqref="U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408.48*5</f>
        <v>2042.4</v>
      </c>
      <c r="C4" s="1" t="s">
        <v>67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71</v>
      </c>
      <c r="B13" s="3">
        <v>12863054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25">
      <c r="A24" s="5" t="s">
        <v>29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-12863054</v>
      </c>
      <c r="C29" s="32">
        <f>C23*0.8</f>
        <v>1817839.8379034884</v>
      </c>
      <c r="D29" s="32">
        <f t="shared" ref="D29:G29" si="3">D23*0.8</f>
        <v>1817839.8379034884</v>
      </c>
      <c r="E29" s="32">
        <f t="shared" si="3"/>
        <v>1817839.8379034884</v>
      </c>
      <c r="F29" s="32">
        <f t="shared" si="3"/>
        <v>1817839.8379034884</v>
      </c>
      <c r="G29" s="32">
        <f t="shared" si="3"/>
        <v>1817839.8379034884</v>
      </c>
      <c r="H29" s="32">
        <f>(H23*0.8*11/12)+(H23*0.5*1/12)</f>
        <v>1761032.3429690045</v>
      </c>
      <c r="I29" s="32">
        <f>I23*0.5</f>
        <v>1136149.8986896803</v>
      </c>
      <c r="J29" s="32">
        <f t="shared" ref="J29:V29" si="4">J23*0.5</f>
        <v>1136149.8986896803</v>
      </c>
      <c r="K29" s="32">
        <f t="shared" si="4"/>
        <v>1136149.8986896803</v>
      </c>
      <c r="L29" s="32">
        <f t="shared" si="4"/>
        <v>1136149.8986896803</v>
      </c>
      <c r="M29" s="32">
        <f t="shared" si="4"/>
        <v>1136149.8986896803</v>
      </c>
      <c r="N29" s="32">
        <f t="shared" si="4"/>
        <v>1136149.8986896803</v>
      </c>
      <c r="O29" s="32">
        <f t="shared" si="4"/>
        <v>1136149.8986896803</v>
      </c>
      <c r="P29" s="32">
        <f t="shared" si="4"/>
        <v>1136149.8986896803</v>
      </c>
      <c r="Q29" s="32">
        <f t="shared" si="4"/>
        <v>1136149.8986896803</v>
      </c>
      <c r="R29" s="32">
        <f t="shared" si="4"/>
        <v>1136149.8986896803</v>
      </c>
      <c r="S29" s="32">
        <f t="shared" si="4"/>
        <v>1136149.8986896803</v>
      </c>
      <c r="T29" s="32">
        <f t="shared" si="4"/>
        <v>1136149.8986896803</v>
      </c>
      <c r="U29" s="32">
        <f t="shared" si="4"/>
        <v>1136149.8986896803</v>
      </c>
      <c r="V29" s="32">
        <f t="shared" si="4"/>
        <v>1136149.8986896803</v>
      </c>
      <c r="W29" s="33">
        <f>SUM(B29:V29)</f>
        <v>13893276.114141967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128630.54</v>
      </c>
      <c r="F30" s="42">
        <f>E30*1.05</f>
        <v>135062.06700000001</v>
      </c>
      <c r="G30" s="42">
        <f t="shared" ref="G30:V30" si="5">F30*1.05</f>
        <v>141815.17035000003</v>
      </c>
      <c r="H30" s="42">
        <f t="shared" si="5"/>
        <v>148905.92886750004</v>
      </c>
      <c r="I30" s="42">
        <f t="shared" si="5"/>
        <v>156351.22531087504</v>
      </c>
      <c r="J30" s="42">
        <f t="shared" si="5"/>
        <v>164168.78657641882</v>
      </c>
      <c r="K30" s="42">
        <f t="shared" si="5"/>
        <v>172377.22590523976</v>
      </c>
      <c r="L30" s="42">
        <f t="shared" si="5"/>
        <v>180996.08720050176</v>
      </c>
      <c r="M30" s="42">
        <f t="shared" si="5"/>
        <v>190045.89156052686</v>
      </c>
      <c r="N30" s="42">
        <f t="shared" si="5"/>
        <v>199548.1861385532</v>
      </c>
      <c r="O30" s="42">
        <f t="shared" si="5"/>
        <v>209525.59544548087</v>
      </c>
      <c r="P30" s="42">
        <f t="shared" si="5"/>
        <v>220001.87521775492</v>
      </c>
      <c r="Q30" s="42">
        <f t="shared" si="5"/>
        <v>231001.96897864266</v>
      </c>
      <c r="R30" s="42">
        <f t="shared" si="5"/>
        <v>242552.0674275748</v>
      </c>
      <c r="S30" s="42">
        <f t="shared" si="5"/>
        <v>254679.67079895356</v>
      </c>
      <c r="T30" s="42">
        <f t="shared" si="5"/>
        <v>267413.65433890128</v>
      </c>
      <c r="U30" s="42">
        <f t="shared" si="5"/>
        <v>280784.33705584635</v>
      </c>
      <c r="V30" s="42">
        <f t="shared" si="5"/>
        <v>294823.55390863866</v>
      </c>
      <c r="W30" s="9">
        <f>SUM(C30:V30)</f>
        <v>3618683.8320814082</v>
      </c>
    </row>
    <row r="31" spans="1:23" s="28" customFormat="1" x14ac:dyDescent="0.25">
      <c r="A31" s="28" t="s">
        <v>34</v>
      </c>
      <c r="B31" s="29"/>
      <c r="C31" s="29">
        <f>(C23-C28-C29)*0.2</f>
        <v>90891.991895174433</v>
      </c>
      <c r="D31" s="29">
        <f t="shared" ref="D31:V31" si="6">(D23-D28-D29)*0.2</f>
        <v>90891.991895174433</v>
      </c>
      <c r="E31" s="29">
        <f t="shared" si="6"/>
        <v>90891.991895174433</v>
      </c>
      <c r="F31" s="29">
        <f t="shared" si="6"/>
        <v>90891.991895174433</v>
      </c>
      <c r="G31" s="29">
        <f t="shared" si="6"/>
        <v>90891.991895174433</v>
      </c>
      <c r="H31" s="29">
        <f t="shared" si="6"/>
        <v>102253.4908820712</v>
      </c>
      <c r="I31" s="29">
        <f t="shared" si="6"/>
        <v>227229.97973793605</v>
      </c>
      <c r="J31" s="29">
        <f t="shared" si="6"/>
        <v>227229.97973793605</v>
      </c>
      <c r="K31" s="29">
        <f t="shared" si="6"/>
        <v>227229.97973793605</v>
      </c>
      <c r="L31" s="29">
        <f t="shared" si="6"/>
        <v>227229.97973793605</v>
      </c>
      <c r="M31" s="29">
        <f t="shared" si="6"/>
        <v>227229.97973793605</v>
      </c>
      <c r="N31" s="29">
        <f t="shared" si="6"/>
        <v>227229.97973793605</v>
      </c>
      <c r="O31" s="29">
        <f t="shared" si="6"/>
        <v>227229.97973793605</v>
      </c>
      <c r="P31" s="29">
        <f t="shared" si="6"/>
        <v>227229.97973793605</v>
      </c>
      <c r="Q31" s="29">
        <f t="shared" si="6"/>
        <v>227229.97973793605</v>
      </c>
      <c r="R31" s="29">
        <f t="shared" si="6"/>
        <v>227229.97973793605</v>
      </c>
      <c r="S31" s="29">
        <f t="shared" si="6"/>
        <v>227229.97973793605</v>
      </c>
      <c r="T31" s="29">
        <f t="shared" si="6"/>
        <v>227229.97973793605</v>
      </c>
      <c r="U31" s="29">
        <f t="shared" si="6"/>
        <v>227229.97973793605</v>
      </c>
      <c r="V31" s="29">
        <f t="shared" si="6"/>
        <v>227229.97973793605</v>
      </c>
      <c r="W31" s="9">
        <f>SUM(C31:V31)</f>
        <v>3737933.1666890481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363567.96758069767</v>
      </c>
      <c r="D32" s="26">
        <f t="shared" ref="D32:E32" si="7">D23-D28-D29-D30-D31</f>
        <v>363567.96758069767</v>
      </c>
      <c r="E32" s="26">
        <f t="shared" si="7"/>
        <v>234937.42758069769</v>
      </c>
      <c r="F32" s="26">
        <f>F23-F28-F29-F30-F31</f>
        <v>228505.90058069763</v>
      </c>
      <c r="G32" s="26">
        <f t="shared" ref="G32:O32" si="8">G23-G28-G29-G30-G31</f>
        <v>221752.79723069764</v>
      </c>
      <c r="H32" s="26">
        <f t="shared" si="8"/>
        <v>260108.03466078476</v>
      </c>
      <c r="I32" s="26">
        <f t="shared" si="8"/>
        <v>752568.69364086911</v>
      </c>
      <c r="J32" s="26">
        <f t="shared" si="8"/>
        <v>744751.13237532543</v>
      </c>
      <c r="K32" s="26">
        <f t="shared" si="8"/>
        <v>736542.6930465044</v>
      </c>
      <c r="L32" s="26">
        <f t="shared" si="8"/>
        <v>727923.83175124251</v>
      </c>
      <c r="M32" s="26">
        <f t="shared" si="8"/>
        <v>718874.02739121742</v>
      </c>
      <c r="N32" s="26">
        <f t="shared" si="8"/>
        <v>709371.73281319102</v>
      </c>
      <c r="O32" s="26">
        <f t="shared" si="8"/>
        <v>699394.32350626332</v>
      </c>
      <c r="P32" s="26">
        <f>P23-P28-P29-P30-P31</f>
        <v>688918.04373398935</v>
      </c>
      <c r="Q32" s="26">
        <f t="shared" ref="Q32:V32" si="9">Q23-Q28-Q29-Q30-Q31</f>
        <v>677917.94997310149</v>
      </c>
      <c r="R32" s="26">
        <f t="shared" si="9"/>
        <v>666367.85152416944</v>
      </c>
      <c r="S32" s="26">
        <f t="shared" si="9"/>
        <v>654240.24815279059</v>
      </c>
      <c r="T32" s="26">
        <f t="shared" si="9"/>
        <v>641506.26461284293</v>
      </c>
      <c r="U32" s="26">
        <f t="shared" si="9"/>
        <v>628135.58189589786</v>
      </c>
      <c r="V32" s="26">
        <f t="shared" si="9"/>
        <v>614096.36504310556</v>
      </c>
      <c r="W32" s="9">
        <f>SUM(C32:V32)</f>
        <v>11333048.834674781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34"/>
  <sheetViews>
    <sheetView topLeftCell="B19" zoomScale="99" zoomScaleNormal="99" workbookViewId="0">
      <selection activeCell="D31" sqref="D31:V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139.38*5</f>
        <v>696.9</v>
      </c>
      <c r="C4" s="1" t="s">
        <v>73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72</v>
      </c>
      <c r="B13" s="3">
        <v>3368224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775345.53897065995</v>
      </c>
      <c r="D23" s="6">
        <f t="shared" ref="D23:V23" si="0">((($B$4*$B$7*$F$7)-((($B$4*$B$7*$F$7)*10%))+((($B$4*$B$9)*$F$9)+((($B$4*$B$7)*$F$9)*10%))))</f>
        <v>775345.53897065995</v>
      </c>
      <c r="E23" s="6">
        <f t="shared" si="0"/>
        <v>775345.53897065995</v>
      </c>
      <c r="F23" s="6">
        <f t="shared" si="0"/>
        <v>775345.53897065995</v>
      </c>
      <c r="G23" s="6">
        <f t="shared" si="0"/>
        <v>775345.53897065995</v>
      </c>
      <c r="H23" s="6">
        <f t="shared" si="0"/>
        <v>775345.53897065995</v>
      </c>
      <c r="I23" s="6">
        <f t="shared" si="0"/>
        <v>775345.53897065995</v>
      </c>
      <c r="J23" s="6">
        <f t="shared" si="0"/>
        <v>775345.53897065995</v>
      </c>
      <c r="K23" s="6">
        <f t="shared" si="0"/>
        <v>775345.53897065995</v>
      </c>
      <c r="L23" s="6">
        <f t="shared" si="0"/>
        <v>775345.53897065995</v>
      </c>
      <c r="M23" s="6">
        <f t="shared" si="0"/>
        <v>775345.53897065995</v>
      </c>
      <c r="N23" s="6">
        <f t="shared" si="0"/>
        <v>775345.53897065995</v>
      </c>
      <c r="O23" s="6">
        <f t="shared" si="0"/>
        <v>775345.53897065995</v>
      </c>
      <c r="P23" s="6">
        <f t="shared" si="0"/>
        <v>775345.53897065995</v>
      </c>
      <c r="Q23" s="6">
        <f t="shared" si="0"/>
        <v>775345.53897065995</v>
      </c>
      <c r="R23" s="6">
        <f t="shared" si="0"/>
        <v>775345.53897065995</v>
      </c>
      <c r="S23" s="6">
        <f t="shared" si="0"/>
        <v>775345.53897065995</v>
      </c>
      <c r="T23" s="6">
        <f t="shared" si="0"/>
        <v>775345.53897065995</v>
      </c>
      <c r="U23" s="6">
        <f t="shared" si="0"/>
        <v>775345.53897065995</v>
      </c>
      <c r="V23" s="6">
        <f t="shared" si="0"/>
        <v>775345.53897065995</v>
      </c>
      <c r="W23" s="9">
        <f>SUM(B23:V23)</f>
        <v>15506910.779413205</v>
      </c>
    </row>
    <row r="24" spans="1:23" s="4" customFormat="1" x14ac:dyDescent="0.25">
      <c r="A24" s="5" t="s">
        <v>29</v>
      </c>
      <c r="B24" s="6">
        <f>B13</f>
        <v>3368224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3368224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3368224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-3368224</v>
      </c>
      <c r="C29" s="32">
        <f>C23*0.8</f>
        <v>620276.43117652799</v>
      </c>
      <c r="D29" s="32">
        <f t="shared" ref="D29:G29" si="3">D23*0.8</f>
        <v>620276.43117652799</v>
      </c>
      <c r="E29" s="32">
        <f t="shared" si="3"/>
        <v>620276.43117652799</v>
      </c>
      <c r="F29" s="32">
        <f t="shared" si="3"/>
        <v>620276.43117652799</v>
      </c>
      <c r="G29" s="32">
        <f t="shared" si="3"/>
        <v>620276.43117652799</v>
      </c>
      <c r="H29" s="32">
        <f>(H23*0.8*11/12)+(H23*0.5*1/12)</f>
        <v>600892.79270226159</v>
      </c>
      <c r="I29" s="32">
        <f>I23*0.5</f>
        <v>387672.76948532998</v>
      </c>
      <c r="J29" s="32">
        <f t="shared" ref="J29:V29" si="4">J23*0.5</f>
        <v>387672.76948532998</v>
      </c>
      <c r="K29" s="32">
        <f t="shared" si="4"/>
        <v>387672.76948532998</v>
      </c>
      <c r="L29" s="32">
        <f t="shared" si="4"/>
        <v>387672.76948532998</v>
      </c>
      <c r="M29" s="32">
        <f t="shared" si="4"/>
        <v>387672.76948532998</v>
      </c>
      <c r="N29" s="32">
        <f t="shared" si="4"/>
        <v>387672.76948532998</v>
      </c>
      <c r="O29" s="32">
        <f t="shared" si="4"/>
        <v>387672.76948532998</v>
      </c>
      <c r="P29" s="32">
        <f t="shared" si="4"/>
        <v>387672.76948532998</v>
      </c>
      <c r="Q29" s="32">
        <f t="shared" si="4"/>
        <v>387672.76948532998</v>
      </c>
      <c r="R29" s="32">
        <f t="shared" si="4"/>
        <v>387672.76948532998</v>
      </c>
      <c r="S29" s="32">
        <f t="shared" si="4"/>
        <v>387672.76948532998</v>
      </c>
      <c r="T29" s="32">
        <f t="shared" si="4"/>
        <v>387672.76948532998</v>
      </c>
      <c r="U29" s="32">
        <f t="shared" si="4"/>
        <v>387672.76948532998</v>
      </c>
      <c r="V29" s="32">
        <f t="shared" si="4"/>
        <v>387672.76948532998</v>
      </c>
      <c r="W29" s="33">
        <f>SUM(B29:V29)</f>
        <v>5761469.7213795232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33682.239999999998</v>
      </c>
      <c r="F30" s="42">
        <f>E30*1.05</f>
        <v>35366.351999999999</v>
      </c>
      <c r="G30" s="42">
        <f t="shared" ref="G30:V30" si="5">F30*1.05</f>
        <v>37134.669600000001</v>
      </c>
      <c r="H30" s="42">
        <f t="shared" si="5"/>
        <v>38991.403080000004</v>
      </c>
      <c r="I30" s="42">
        <f t="shared" si="5"/>
        <v>40940.973234000005</v>
      </c>
      <c r="J30" s="42">
        <f t="shared" si="5"/>
        <v>42988.021895700003</v>
      </c>
      <c r="K30" s="42">
        <f t="shared" si="5"/>
        <v>45137.422990485007</v>
      </c>
      <c r="L30" s="42">
        <f t="shared" si="5"/>
        <v>47394.29414000926</v>
      </c>
      <c r="M30" s="42">
        <f t="shared" si="5"/>
        <v>49764.008847009725</v>
      </c>
      <c r="N30" s="42">
        <f t="shared" si="5"/>
        <v>52252.209289360217</v>
      </c>
      <c r="O30" s="42">
        <f t="shared" si="5"/>
        <v>54864.819753828233</v>
      </c>
      <c r="P30" s="42">
        <f t="shared" si="5"/>
        <v>57608.06074151965</v>
      </c>
      <c r="Q30" s="42">
        <f t="shared" si="5"/>
        <v>60488.463778595637</v>
      </c>
      <c r="R30" s="42">
        <f t="shared" si="5"/>
        <v>63512.886967525425</v>
      </c>
      <c r="S30" s="42">
        <f t="shared" si="5"/>
        <v>66688.531315901695</v>
      </c>
      <c r="T30" s="42">
        <f t="shared" si="5"/>
        <v>70022.957881696784</v>
      </c>
      <c r="U30" s="42">
        <f t="shared" si="5"/>
        <v>73524.105775781631</v>
      </c>
      <c r="V30" s="42">
        <f t="shared" si="5"/>
        <v>77200.31106457072</v>
      </c>
      <c r="W30" s="9">
        <f>SUM(C30:V30)</f>
        <v>947561.73235598393</v>
      </c>
    </row>
    <row r="31" spans="1:23" s="28" customFormat="1" x14ac:dyDescent="0.25">
      <c r="A31" s="28" t="s">
        <v>34</v>
      </c>
      <c r="B31" s="29"/>
      <c r="C31" s="29">
        <f>(C23-C28-C29)*0.2</f>
        <v>31013.821558826396</v>
      </c>
      <c r="D31" s="29">
        <f t="shared" ref="D31:V31" si="6">(D23-D28-D29)*0.2</f>
        <v>31013.821558826396</v>
      </c>
      <c r="E31" s="29">
        <f t="shared" si="6"/>
        <v>31013.821558826396</v>
      </c>
      <c r="F31" s="29">
        <f t="shared" si="6"/>
        <v>31013.821558826396</v>
      </c>
      <c r="G31" s="29">
        <f t="shared" si="6"/>
        <v>31013.821558826396</v>
      </c>
      <c r="H31" s="29">
        <f t="shared" si="6"/>
        <v>34890.549253679674</v>
      </c>
      <c r="I31" s="29">
        <f t="shared" si="6"/>
        <v>77534.553897065998</v>
      </c>
      <c r="J31" s="29">
        <f t="shared" si="6"/>
        <v>77534.553897065998</v>
      </c>
      <c r="K31" s="29">
        <f t="shared" si="6"/>
        <v>77534.553897065998</v>
      </c>
      <c r="L31" s="29">
        <f t="shared" si="6"/>
        <v>77534.553897065998</v>
      </c>
      <c r="M31" s="29">
        <f t="shared" si="6"/>
        <v>77534.553897065998</v>
      </c>
      <c r="N31" s="29">
        <f t="shared" si="6"/>
        <v>77534.553897065998</v>
      </c>
      <c r="O31" s="29">
        <f t="shared" si="6"/>
        <v>77534.553897065998</v>
      </c>
      <c r="P31" s="29">
        <f t="shared" si="6"/>
        <v>77534.553897065998</v>
      </c>
      <c r="Q31" s="29">
        <f t="shared" si="6"/>
        <v>77534.553897065998</v>
      </c>
      <c r="R31" s="29">
        <f t="shared" si="6"/>
        <v>77534.553897065998</v>
      </c>
      <c r="S31" s="29">
        <f t="shared" si="6"/>
        <v>77534.553897065998</v>
      </c>
      <c r="T31" s="29">
        <f t="shared" si="6"/>
        <v>77534.553897065998</v>
      </c>
      <c r="U31" s="29">
        <f t="shared" si="6"/>
        <v>77534.553897065998</v>
      </c>
      <c r="V31" s="29">
        <f t="shared" si="6"/>
        <v>77534.553897065998</v>
      </c>
      <c r="W31" s="9">
        <f>SUM(C31:V31)</f>
        <v>1275443.411606736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124055.28623530557</v>
      </c>
      <c r="D32" s="26">
        <f t="shared" ref="D32:E32" si="7">D23-D28-D29-D30-D31</f>
        <v>124055.28623530557</v>
      </c>
      <c r="E32" s="26">
        <f t="shared" si="7"/>
        <v>90373.046235305577</v>
      </c>
      <c r="F32" s="26">
        <f>F23-F28-F29-F30-F31</f>
        <v>88688.934235305569</v>
      </c>
      <c r="G32" s="26">
        <f t="shared" ref="G32:O32" si="8">G23-G28-G29-G30-G31</f>
        <v>86920.616635305574</v>
      </c>
      <c r="H32" s="26">
        <f t="shared" si="8"/>
        <v>100570.79393471868</v>
      </c>
      <c r="I32" s="26">
        <f t="shared" si="8"/>
        <v>269197.24235426396</v>
      </c>
      <c r="J32" s="26">
        <f t="shared" si="8"/>
        <v>267150.19369256397</v>
      </c>
      <c r="K32" s="26">
        <f t="shared" si="8"/>
        <v>265000.79259777901</v>
      </c>
      <c r="L32" s="26">
        <f t="shared" si="8"/>
        <v>262743.92144825472</v>
      </c>
      <c r="M32" s="26">
        <f t="shared" si="8"/>
        <v>260374.20674125425</v>
      </c>
      <c r="N32" s="26">
        <f t="shared" si="8"/>
        <v>257886.00629890378</v>
      </c>
      <c r="O32" s="26">
        <f t="shared" si="8"/>
        <v>255273.39583443577</v>
      </c>
      <c r="P32" s="26">
        <f>P23-P28-P29-P30-P31</f>
        <v>252530.15484674432</v>
      </c>
      <c r="Q32" s="26">
        <f t="shared" ref="Q32:V32" si="9">Q23-Q28-Q29-Q30-Q31</f>
        <v>249649.75180966838</v>
      </c>
      <c r="R32" s="26">
        <f t="shared" si="9"/>
        <v>246625.32862073858</v>
      </c>
      <c r="S32" s="26">
        <f t="shared" si="9"/>
        <v>243449.68427236233</v>
      </c>
      <c r="T32" s="26">
        <f t="shared" si="9"/>
        <v>240115.25770656724</v>
      </c>
      <c r="U32" s="26">
        <f t="shared" si="9"/>
        <v>236614.10981248238</v>
      </c>
      <c r="V32" s="26">
        <f t="shared" si="9"/>
        <v>232937.90452369326</v>
      </c>
      <c r="W32" s="9">
        <f>SUM(C32:V32)</f>
        <v>4154211.9140709583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4"/>
  <sheetViews>
    <sheetView topLeftCell="B19" zoomScale="99" zoomScaleNormal="99" workbookViewId="0">
      <selection activeCell="C31" sqref="C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350.52*5</f>
        <v>1752.6</v>
      </c>
      <c r="C4" s="1" t="s">
        <v>75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74</v>
      </c>
      <c r="B13" s="3">
        <v>10695206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1949878.8801836399</v>
      </c>
      <c r="D23" s="6">
        <f t="shared" ref="D23:V23" si="0">((($B$4*$B$7*$F$7)-((($B$4*$B$7*$F$7)*10%))+((($B$4*$B$9)*$F$9)+((($B$4*$B$7)*$F$9)*10%))))</f>
        <v>1949878.8801836399</v>
      </c>
      <c r="E23" s="6">
        <f t="shared" si="0"/>
        <v>1949878.8801836399</v>
      </c>
      <c r="F23" s="6">
        <f t="shared" si="0"/>
        <v>1949878.8801836399</v>
      </c>
      <c r="G23" s="6">
        <f t="shared" si="0"/>
        <v>1949878.8801836399</v>
      </c>
      <c r="H23" s="6">
        <f t="shared" si="0"/>
        <v>1949878.8801836399</v>
      </c>
      <c r="I23" s="6">
        <f t="shared" si="0"/>
        <v>1949878.8801836399</v>
      </c>
      <c r="J23" s="6">
        <f t="shared" si="0"/>
        <v>1949878.8801836399</v>
      </c>
      <c r="K23" s="6">
        <f t="shared" si="0"/>
        <v>1949878.8801836399</v>
      </c>
      <c r="L23" s="6">
        <f t="shared" si="0"/>
        <v>1949878.8801836399</v>
      </c>
      <c r="M23" s="6">
        <f t="shared" si="0"/>
        <v>1949878.8801836399</v>
      </c>
      <c r="N23" s="6">
        <f t="shared" si="0"/>
        <v>1949878.8801836399</v>
      </c>
      <c r="O23" s="6">
        <f t="shared" si="0"/>
        <v>1949878.8801836399</v>
      </c>
      <c r="P23" s="6">
        <f t="shared" si="0"/>
        <v>1949878.8801836399</v>
      </c>
      <c r="Q23" s="6">
        <f t="shared" si="0"/>
        <v>1949878.8801836399</v>
      </c>
      <c r="R23" s="6">
        <f t="shared" si="0"/>
        <v>1949878.8801836399</v>
      </c>
      <c r="S23" s="6">
        <f t="shared" si="0"/>
        <v>1949878.8801836399</v>
      </c>
      <c r="T23" s="6">
        <f t="shared" si="0"/>
        <v>1949878.8801836399</v>
      </c>
      <c r="U23" s="6">
        <f t="shared" si="0"/>
        <v>1949878.8801836399</v>
      </c>
      <c r="V23" s="6">
        <f t="shared" si="0"/>
        <v>1949878.8801836399</v>
      </c>
      <c r="W23" s="9">
        <f>SUM(B23:V23)</f>
        <v>38997577.603672802</v>
      </c>
    </row>
    <row r="24" spans="1:23" s="4" customFormat="1" x14ac:dyDescent="0.25">
      <c r="A24" s="5" t="s">
        <v>29</v>
      </c>
      <c r="B24" s="6">
        <f>B13</f>
        <v>10695206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10695206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10695206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-10695206</v>
      </c>
      <c r="C29" s="32">
        <f>C23*0.8</f>
        <v>1559903.104146912</v>
      </c>
      <c r="D29" s="32">
        <f t="shared" ref="D29:G29" si="3">D23*0.8</f>
        <v>1559903.104146912</v>
      </c>
      <c r="E29" s="32">
        <f t="shared" si="3"/>
        <v>1559903.104146912</v>
      </c>
      <c r="F29" s="32">
        <f t="shared" si="3"/>
        <v>1559903.104146912</v>
      </c>
      <c r="G29" s="32">
        <f t="shared" si="3"/>
        <v>1559903.104146912</v>
      </c>
      <c r="H29" s="32">
        <f>(H23*0.8*11/12)+(H23*0.5*1/12)</f>
        <v>1511156.1321423212</v>
      </c>
      <c r="I29" s="32">
        <f>I23*0.5</f>
        <v>974939.44009181997</v>
      </c>
      <c r="J29" s="32">
        <f t="shared" ref="J29:V29" si="4">J23*0.5</f>
        <v>974939.44009181997</v>
      </c>
      <c r="K29" s="32">
        <f t="shared" si="4"/>
        <v>974939.44009181997</v>
      </c>
      <c r="L29" s="32">
        <f t="shared" si="4"/>
        <v>974939.44009181997</v>
      </c>
      <c r="M29" s="32">
        <f t="shared" si="4"/>
        <v>974939.44009181997</v>
      </c>
      <c r="N29" s="32">
        <f t="shared" si="4"/>
        <v>974939.44009181997</v>
      </c>
      <c r="O29" s="32">
        <f t="shared" si="4"/>
        <v>974939.44009181997</v>
      </c>
      <c r="P29" s="32">
        <f t="shared" si="4"/>
        <v>974939.44009181997</v>
      </c>
      <c r="Q29" s="32">
        <f t="shared" si="4"/>
        <v>974939.44009181997</v>
      </c>
      <c r="R29" s="32">
        <f t="shared" si="4"/>
        <v>974939.44009181997</v>
      </c>
      <c r="S29" s="32">
        <f t="shared" si="4"/>
        <v>974939.44009181997</v>
      </c>
      <c r="T29" s="32">
        <f t="shared" si="4"/>
        <v>974939.44009181997</v>
      </c>
      <c r="U29" s="32">
        <f t="shared" si="4"/>
        <v>974939.44009181997</v>
      </c>
      <c r="V29" s="32">
        <f t="shared" si="4"/>
        <v>974939.44009181997</v>
      </c>
      <c r="W29" s="33">
        <f>SUM(B29:V29)</f>
        <v>12264617.814162364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106952.06</v>
      </c>
      <c r="F30" s="42">
        <f>E30*1.05</f>
        <v>112299.663</v>
      </c>
      <c r="G30" s="42">
        <f t="shared" ref="G30:V30" si="5">F30*1.05</f>
        <v>117914.64615</v>
      </c>
      <c r="H30" s="42">
        <f t="shared" si="5"/>
        <v>123810.3784575</v>
      </c>
      <c r="I30" s="42">
        <f t="shared" si="5"/>
        <v>130000.89738037501</v>
      </c>
      <c r="J30" s="42">
        <f t="shared" si="5"/>
        <v>136500.94224939376</v>
      </c>
      <c r="K30" s="42">
        <f t="shared" si="5"/>
        <v>143325.98936186347</v>
      </c>
      <c r="L30" s="42">
        <f t="shared" si="5"/>
        <v>150492.28882995664</v>
      </c>
      <c r="M30" s="42">
        <f t="shared" si="5"/>
        <v>158016.90327145447</v>
      </c>
      <c r="N30" s="42">
        <f t="shared" si="5"/>
        <v>165917.7484350272</v>
      </c>
      <c r="O30" s="42">
        <f t="shared" si="5"/>
        <v>174213.63585677856</v>
      </c>
      <c r="P30" s="42">
        <f t="shared" si="5"/>
        <v>182924.3176496175</v>
      </c>
      <c r="Q30" s="42">
        <f t="shared" si="5"/>
        <v>192070.53353209837</v>
      </c>
      <c r="R30" s="42">
        <f t="shared" si="5"/>
        <v>201674.0602087033</v>
      </c>
      <c r="S30" s="42">
        <f t="shared" si="5"/>
        <v>211757.76321913849</v>
      </c>
      <c r="T30" s="42">
        <f t="shared" si="5"/>
        <v>222345.65138009543</v>
      </c>
      <c r="U30" s="42">
        <f t="shared" si="5"/>
        <v>233462.9339491002</v>
      </c>
      <c r="V30" s="42">
        <f t="shared" si="5"/>
        <v>245136.08064655523</v>
      </c>
      <c r="W30" s="9">
        <f>SUM(C30:V30)</f>
        <v>3008816.4935776582</v>
      </c>
    </row>
    <row r="31" spans="1:23" s="28" customFormat="1" x14ac:dyDescent="0.25">
      <c r="A31" s="28" t="s">
        <v>34</v>
      </c>
      <c r="B31" s="29"/>
      <c r="C31" s="29">
        <f>(C23-C28-C29)*0.2</f>
        <v>77995.155207345597</v>
      </c>
      <c r="D31" s="29">
        <f t="shared" ref="D31:V31" si="6">(D23-D28-D29)*0.2</f>
        <v>77995.155207345597</v>
      </c>
      <c r="E31" s="29">
        <f t="shared" si="6"/>
        <v>77995.155207345597</v>
      </c>
      <c r="F31" s="29">
        <f t="shared" si="6"/>
        <v>77995.155207345597</v>
      </c>
      <c r="G31" s="29">
        <f t="shared" si="6"/>
        <v>77995.155207345597</v>
      </c>
      <c r="H31" s="29">
        <f t="shared" si="6"/>
        <v>87744.549608263755</v>
      </c>
      <c r="I31" s="29">
        <f t="shared" si="6"/>
        <v>194987.888018364</v>
      </c>
      <c r="J31" s="29">
        <f t="shared" si="6"/>
        <v>194987.888018364</v>
      </c>
      <c r="K31" s="29">
        <f t="shared" si="6"/>
        <v>194987.888018364</v>
      </c>
      <c r="L31" s="29">
        <f t="shared" si="6"/>
        <v>194987.888018364</v>
      </c>
      <c r="M31" s="29">
        <f t="shared" si="6"/>
        <v>194987.888018364</v>
      </c>
      <c r="N31" s="29">
        <f t="shared" si="6"/>
        <v>194987.888018364</v>
      </c>
      <c r="O31" s="29">
        <f t="shared" si="6"/>
        <v>194987.888018364</v>
      </c>
      <c r="P31" s="29">
        <f t="shared" si="6"/>
        <v>194987.888018364</v>
      </c>
      <c r="Q31" s="29">
        <f t="shared" si="6"/>
        <v>194987.888018364</v>
      </c>
      <c r="R31" s="29">
        <f t="shared" si="6"/>
        <v>194987.888018364</v>
      </c>
      <c r="S31" s="29">
        <f t="shared" si="6"/>
        <v>194987.888018364</v>
      </c>
      <c r="T31" s="29">
        <f t="shared" si="6"/>
        <v>194987.888018364</v>
      </c>
      <c r="U31" s="29">
        <f t="shared" si="6"/>
        <v>194987.888018364</v>
      </c>
      <c r="V31" s="29">
        <f t="shared" si="6"/>
        <v>194987.888018364</v>
      </c>
      <c r="W31" s="9">
        <f>SUM(C31:V31)</f>
        <v>3207550.7579020886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311980.62082938233</v>
      </c>
      <c r="D32" s="26">
        <f t="shared" ref="D32:E32" si="7">D23-D28-D29-D30-D31</f>
        <v>311980.62082938233</v>
      </c>
      <c r="E32" s="26">
        <f t="shared" si="7"/>
        <v>205028.56082938233</v>
      </c>
      <c r="F32" s="26">
        <f>F23-F28-F29-F30-F31</f>
        <v>199680.95782938233</v>
      </c>
      <c r="G32" s="26">
        <f t="shared" ref="G32:O32" si="8">G23-G28-G29-G30-G31</f>
        <v>194065.97467938234</v>
      </c>
      <c r="H32" s="26">
        <f t="shared" si="8"/>
        <v>227167.81997555494</v>
      </c>
      <c r="I32" s="26">
        <f t="shared" si="8"/>
        <v>649950.65469308093</v>
      </c>
      <c r="J32" s="26">
        <f t="shared" si="8"/>
        <v>643450.60982406221</v>
      </c>
      <c r="K32" s="26">
        <f t="shared" si="8"/>
        <v>636625.56271159253</v>
      </c>
      <c r="L32" s="26">
        <f t="shared" si="8"/>
        <v>629459.26324349933</v>
      </c>
      <c r="M32" s="26">
        <f t="shared" si="8"/>
        <v>621934.64880200149</v>
      </c>
      <c r="N32" s="26">
        <f t="shared" si="8"/>
        <v>614033.8036384288</v>
      </c>
      <c r="O32" s="26">
        <f t="shared" si="8"/>
        <v>605737.9162166774</v>
      </c>
      <c r="P32" s="26">
        <f>P23-P28-P29-P30-P31</f>
        <v>597027.23442383844</v>
      </c>
      <c r="Q32" s="26">
        <f t="shared" ref="Q32:V32" si="9">Q23-Q28-Q29-Q30-Q31</f>
        <v>587881.0185413576</v>
      </c>
      <c r="R32" s="26">
        <f t="shared" si="9"/>
        <v>578277.49186475272</v>
      </c>
      <c r="S32" s="26">
        <f t="shared" si="9"/>
        <v>568193.78885431751</v>
      </c>
      <c r="T32" s="26">
        <f t="shared" si="9"/>
        <v>557605.9006933606</v>
      </c>
      <c r="U32" s="26">
        <f t="shared" si="9"/>
        <v>546488.61812435579</v>
      </c>
      <c r="V32" s="26">
        <f t="shared" si="9"/>
        <v>534815.47142690083</v>
      </c>
      <c r="W32" s="9">
        <f>SUM(C32:V32)</f>
        <v>9821386.5380306933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ภาพรวม</vt:lpstr>
      <vt:lpstr>มทร.เชียงใหม่</vt:lpstr>
      <vt:lpstr>มทร.เชียงราย</vt:lpstr>
      <vt:lpstr>มทร.ดอยสะเก็ด</vt:lpstr>
      <vt:lpstr>มทร.ตาก1</vt:lpstr>
      <vt:lpstr>มทร.ตาก2</vt:lpstr>
      <vt:lpstr>มทร.ตาก3</vt:lpstr>
      <vt:lpstr>มทร.น่าน</vt:lpstr>
      <vt:lpstr>มทร.พิษณุโลก</vt:lpstr>
      <vt:lpstr>มทร.ภาคพายัพ เชียงใหม่</vt:lpstr>
      <vt:lpstr>มทร.ภาคพายัพ เจ็ดยอด</vt:lpstr>
      <vt:lpstr>มทร.ลำปาง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cp:lastPrinted>2024-05-30T00:12:27Z</cp:lastPrinted>
  <dcterms:created xsi:type="dcterms:W3CDTF">2024-04-15T17:25:25Z</dcterms:created>
  <dcterms:modified xsi:type="dcterms:W3CDTF">2024-08-07T17:03:00Z</dcterms:modified>
</cp:coreProperties>
</file>